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mc:AlternateContent xmlns:mc="http://schemas.openxmlformats.org/markup-compatibility/2006">
    <mc:Choice Requires="x15">
      <x15ac:absPath xmlns:x15ac="http://schemas.microsoft.com/office/spreadsheetml/2010/11/ac" url="https://d.docs.live.net/b2791e7ce84ea9ea/Berechnungsblaetter/berechnungsblaetter.ch/Upload/"/>
    </mc:Choice>
  </mc:AlternateContent>
  <xr:revisionPtr revIDLastSave="47" documentId="8_{12D964E1-9315-4B15-8C10-22EBFE22C8EF}" xr6:coauthVersionLast="47" xr6:coauthVersionMax="47" xr10:uidLastSave="{B35553F4-BCD5-430E-861C-766A1E63C450}"/>
  <bookViews>
    <workbookView xWindow="3384" yWindow="0" windowWidth="16968" windowHeight="17280" tabRatio="681" xr2:uid="{00000000-000D-0000-FFFF-FFFF00000000}"/>
  </bookViews>
  <sheets>
    <sheet name="Hauptblatt" sheetId="10" r:id="rId1"/>
    <sheet name="Résumé" sheetId="11" r:id="rId2"/>
    <sheet name="Hilfsblatt" sheetId="1" r:id="rId3"/>
    <sheet name="Steuerangaben" sheetId="2" r:id="rId4"/>
    <sheet name="Vorsorge" sheetId="8" r:id="rId5"/>
    <sheet name="Steuerberechnung" sheetId="3" r:id="rId6"/>
    <sheet name="Grundlagen" sheetId="7" r:id="rId7"/>
    <sheet name="Tarife" sheetId="5" r:id="rId8"/>
    <sheet name="Modul1" sheetId="6" state="veryHidden" r:id="rId9"/>
  </sheets>
  <definedNames>
    <definedName name="_xlnm._FilterDatabase" localSheetId="2" hidden="1">Hilfsblatt!$E$3:$F$3</definedName>
    <definedName name="Beginn">Hilfsblatt!$A$1</definedName>
    <definedName name="_xlnm.Print_Titles" localSheetId="6">Grundlagen!$1:$5</definedName>
    <definedName name="_xlnm.Print_Titles" localSheetId="7">Tarife!$1:$2</definedName>
    <definedName name="E_AG_All">Tarife!$D$27:$F$44</definedName>
    <definedName name="E_AG_Verh">Tarife!$G$27:$I$44</definedName>
    <definedName name="E_BE_All">Tarife!$D$57:$F$71</definedName>
    <definedName name="E_BE_Verh">Tarife!$G$57:$I$71</definedName>
    <definedName name="E_BL_All">Tarife!$D$87:$G$105</definedName>
    <definedName name="E_BL_Verh">Tarife!$H$87:$K$105</definedName>
    <definedName name="E_BS_All">Tarife!$D$113:$F$127</definedName>
    <definedName name="E_BS_Verh">Tarife!$G$113:$I$127</definedName>
    <definedName name="E_Bund_All">Tarife!$D$6:$F$21</definedName>
    <definedName name="E_Bund_Verh">Tarife!$G$6:$I$21</definedName>
    <definedName name="E_FR_2004">Tarife!#REF!</definedName>
    <definedName name="E_FR_2005">Tarife!$D$137:$F$150</definedName>
    <definedName name="E_LU_All">Tarife!$D$167:$F$184</definedName>
    <definedName name="E_LU_Verh">Tarife!$G$167:$I$184</definedName>
    <definedName name="E_SG_All">Tarife!$D$197:$F$216</definedName>
    <definedName name="E_SG_Verh">Tarife!$G$197:$I$215</definedName>
    <definedName name="E_SO_All">Tarife!$D$223:$F$242</definedName>
    <definedName name="E_SO_Verh">Tarife!$G$223:$I$242</definedName>
    <definedName name="E_ZH_All">Tarife!$D$249:$F$266</definedName>
    <definedName name="E_ZH_Verh">Tarife!$G$249:$I$266</definedName>
    <definedName name="Jahrgang_EF" localSheetId="4">Vorsorge!$B$9</definedName>
    <definedName name="KA_effektiv" localSheetId="4">Vorsorge!#REF!</definedName>
    <definedName name="KA_gebuehrend" localSheetId="4">Vorsorge!#REF!</definedName>
    <definedName name="Laufende_Steuern">Hilfsblatt!$B$48</definedName>
    <definedName name="Namen_Ehegatten">Hilfsblatt!$B$7</definedName>
    <definedName name="Resultat">Hilfsblatt!$C$91</definedName>
    <definedName name="SteuernEF1">Hilfsblatt!$A$48</definedName>
    <definedName name="SteuernEF2">Steuerberechnung!$B$52</definedName>
    <definedName name="SteuernEM1">Hilfsblatt!$C$48</definedName>
    <definedName name="SteuernEM2">Steuerberechnung!$D$52</definedName>
    <definedName name="SteuernHb1" localSheetId="1">Résumé!$C$56</definedName>
    <definedName name="SteuernHb1">Hauptblatt!$C$58</definedName>
    <definedName name="SteuernVp1" localSheetId="1">Résumé!$B$56</definedName>
    <definedName name="SteuernVp1">Hauptblatt!$B$58</definedName>
    <definedName name="V_AG_All">Tarife!$J$27:$L$39</definedName>
    <definedName name="V_AG_Verh">Tarife!$M$27:$O$44</definedName>
    <definedName name="V_BE_All">Tarife!$J$57:$L$71</definedName>
    <definedName name="V_BE_Verh">Tarife!$M$57:$O$71</definedName>
    <definedName name="V_BL" localSheetId="7">Tarife!$J$87:$M$105</definedName>
    <definedName name="V_BL">Tarife!$L$87:$O$105</definedName>
    <definedName name="V_BS_All">Tarife!$J$113:$L$127</definedName>
    <definedName name="V_BS_Verh">Tarife!$M$113:$O$127</definedName>
    <definedName name="V_FR">Tarife!$J$137:$L$152</definedName>
    <definedName name="V_FR_All">Tarife!$J$137:$L$151</definedName>
    <definedName name="V_FR_Verh">Tarife!$M$137:$O$151</definedName>
    <definedName name="V_LU">Tarife!$J$167:$L$190</definedName>
    <definedName name="V_SG_All">Tarife!$J$206:$L$210</definedName>
    <definedName name="V_SG_All_02">Tarife!$J$197:$L$201</definedName>
    <definedName name="V_SG_Verh">Tarife!$M$206:$O$210</definedName>
    <definedName name="V_SG_Verh_02">Tarife!$M$197:$O$201</definedName>
    <definedName name="V_SO_All">Tarife!$J$223:$L$242</definedName>
    <definedName name="V_SO_Verh">Tarife!$M$223:$O$243</definedName>
    <definedName name="V_ZH_All">Tarife!$J$249:$L$266</definedName>
    <definedName name="V_ZH_Verh">Tarife!$M$249:$O$266</definedName>
    <definedName name="Vorsorgeluecke_Monat" localSheetId="4">Vorsorge!$B$44</definedName>
    <definedName name="Vorsorgeunterhalt" localSheetId="2">Hilfsblatt!$A$53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C1" i="10"/>
  <c r="H2" i="10"/>
  <c r="A4" i="10"/>
  <c r="D4" i="10"/>
  <c r="D5" i="10"/>
  <c r="A6" i="10"/>
  <c r="E6" i="10"/>
  <c r="H6" i="10"/>
  <c r="C7" i="10"/>
  <c r="H8" i="10"/>
  <c r="H9" i="10"/>
  <c r="B10" i="10"/>
  <c r="A11" i="10"/>
  <c r="A12" i="10"/>
  <c r="A13" i="10"/>
  <c r="F13" i="10"/>
  <c r="G13" i="10"/>
  <c r="A14" i="10"/>
  <c r="A15" i="10"/>
  <c r="A16" i="10"/>
  <c r="A17" i="10"/>
  <c r="A18" i="10"/>
  <c r="A19" i="10"/>
  <c r="A20" i="10"/>
  <c r="A21" i="10"/>
  <c r="A24" i="10"/>
  <c r="A26" i="10"/>
  <c r="A27" i="10"/>
  <c r="A28" i="10"/>
  <c r="A29" i="10"/>
  <c r="A30" i="10"/>
  <c r="A31" i="10"/>
  <c r="A32" i="10"/>
  <c r="A33" i="10"/>
  <c r="A34" i="10"/>
  <c r="A35" i="10"/>
  <c r="A36" i="10"/>
  <c r="A43" i="10"/>
  <c r="A45" i="10"/>
  <c r="A46" i="10"/>
  <c r="A47" i="10"/>
  <c r="A48" i="10"/>
  <c r="A49" i="10"/>
  <c r="A50" i="10"/>
  <c r="A51" i="10"/>
  <c r="A52" i="10"/>
  <c r="A53" i="10"/>
  <c r="A54" i="10"/>
  <c r="A55" i="10"/>
  <c r="A56" i="10"/>
  <c r="A57" i="10"/>
  <c r="A58" i="10"/>
  <c r="A59" i="10"/>
  <c r="A60" i="10"/>
  <c r="A61" i="10"/>
  <c r="A62" i="10"/>
  <c r="A63" i="10"/>
  <c r="A64" i="10"/>
  <c r="A65" i="10"/>
  <c r="A66" i="10"/>
  <c r="A67" i="10"/>
  <c r="A68" i="10"/>
  <c r="A74" i="10"/>
  <c r="A76" i="10"/>
  <c r="A77" i="10"/>
  <c r="A78" i="10"/>
  <c r="A80" i="10"/>
  <c r="A82" i="10"/>
  <c r="A84" i="10"/>
  <c r="A86" i="10"/>
  <c r="A88" i="10"/>
  <c r="A89" i="10"/>
  <c r="A91" i="10"/>
  <c r="A93" i="10"/>
  <c r="A95" i="10"/>
  <c r="A96" i="10"/>
  <c r="A97" i="10"/>
  <c r="A98" i="10"/>
  <c r="A100" i="10"/>
  <c r="A102" i="10"/>
  <c r="A104" i="10"/>
  <c r="A106" i="10"/>
  <c r="A108" i="10"/>
  <c r="A109" i="10"/>
  <c r="A110" i="10"/>
  <c r="A111" i="10"/>
  <c r="A113" i="10"/>
  <c r="A114" i="10"/>
  <c r="A116" i="10"/>
  <c r="A117" i="10"/>
  <c r="A118" i="10"/>
  <c r="A119" i="10"/>
  <c r="A120" i="10"/>
  <c r="A122" i="10"/>
  <c r="A124" i="10"/>
  <c r="A125" i="10"/>
  <c r="A127" i="10"/>
  <c r="A129" i="10"/>
  <c r="A131" i="10"/>
  <c r="A132" i="10"/>
  <c r="A133" i="10"/>
  <c r="A135" i="10"/>
  <c r="A137" i="10"/>
  <c r="A138" i="10"/>
  <c r="A140" i="10"/>
  <c r="A141" i="10"/>
  <c r="A142" i="10"/>
  <c r="A143" i="10"/>
  <c r="A79" i="11" l="1"/>
  <c r="C79" i="11"/>
  <c r="B79" i="11"/>
  <c r="F6" i="2"/>
  <c r="C6" i="2"/>
  <c r="C43" i="1"/>
  <c r="C38" i="1"/>
  <c r="D1" i="2" l="1"/>
  <c r="A21" i="2" l="1"/>
  <c r="A22" i="2"/>
  <c r="G38" i="2"/>
  <c r="A19" i="2"/>
  <c r="A20" i="2"/>
  <c r="A44" i="2"/>
  <c r="A63" i="2"/>
  <c r="A7" i="2"/>
  <c r="A26" i="2"/>
  <c r="A23" i="2"/>
  <c r="A24" i="2"/>
  <c r="A27" i="2"/>
  <c r="A25" i="2"/>
  <c r="D9" i="1" l="1"/>
  <c r="F9" i="1" s="1"/>
  <c r="D10" i="1"/>
  <c r="D11" i="1"/>
  <c r="F11" i="1" s="1"/>
  <c r="C23" i="1"/>
  <c r="A29" i="1"/>
  <c r="A30" i="1"/>
  <c r="A31" i="1"/>
  <c r="A28" i="1"/>
  <c r="A27" i="1"/>
  <c r="C1" i="7"/>
  <c r="A56" i="3"/>
  <c r="F1" i="8"/>
  <c r="A118" i="2"/>
  <c r="C8" i="11"/>
  <c r="B10" i="11"/>
  <c r="A18" i="11"/>
  <c r="A13" i="1"/>
  <c r="F78" i="1"/>
  <c r="A33" i="1"/>
  <c r="B60" i="1"/>
  <c r="B61" i="1"/>
  <c r="B59" i="1"/>
  <c r="B33" i="1"/>
  <c r="C33" i="1"/>
  <c r="E1" i="1"/>
  <c r="H36" i="11"/>
  <c r="H37" i="11"/>
  <c r="A59" i="1"/>
  <c r="C59" i="1"/>
  <c r="A58" i="1"/>
  <c r="C14" i="1"/>
  <c r="D8" i="1"/>
  <c r="C17" i="1"/>
  <c r="E17" i="1" s="1"/>
  <c r="C24" i="1"/>
  <c r="C25" i="1"/>
  <c r="C45" i="1"/>
  <c r="C46" i="1"/>
  <c r="C57" i="1"/>
  <c r="C53" i="1"/>
  <c r="A14" i="1"/>
  <c r="A75" i="11"/>
  <c r="A8" i="11"/>
  <c r="C46" i="11"/>
  <c r="B46" i="11"/>
  <c r="A80" i="11"/>
  <c r="A77" i="11"/>
  <c r="A73" i="11"/>
  <c r="A69" i="11"/>
  <c r="A67" i="11"/>
  <c r="A44" i="11"/>
  <c r="A45" i="11"/>
  <c r="A46" i="11"/>
  <c r="A47" i="11"/>
  <c r="A48" i="11"/>
  <c r="A49" i="11"/>
  <c r="A50" i="11"/>
  <c r="A51" i="11"/>
  <c r="A52" i="11"/>
  <c r="A53" i="11"/>
  <c r="A54" i="11"/>
  <c r="A55" i="11"/>
  <c r="A56" i="11"/>
  <c r="A57" i="11"/>
  <c r="A58" i="11"/>
  <c r="A59" i="11"/>
  <c r="A60" i="11"/>
  <c r="A61" i="11"/>
  <c r="A62" i="11"/>
  <c r="A63" i="11"/>
  <c r="A64" i="11"/>
  <c r="A65" i="11"/>
  <c r="A66" i="11"/>
  <c r="A43" i="11"/>
  <c r="A38" i="11"/>
  <c r="D137" i="11"/>
  <c r="E137" i="11"/>
  <c r="F137" i="11"/>
  <c r="G137" i="11"/>
  <c r="A138" i="11"/>
  <c r="A137" i="11"/>
  <c r="A136" i="11"/>
  <c r="A135" i="11"/>
  <c r="A134" i="11"/>
  <c r="A131" i="11"/>
  <c r="A129" i="11"/>
  <c r="A127" i="11"/>
  <c r="A126" i="11"/>
  <c r="A125" i="11"/>
  <c r="A123" i="11"/>
  <c r="E2" i="11"/>
  <c r="A41" i="11" s="1"/>
  <c r="A109" i="11"/>
  <c r="A108" i="11"/>
  <c r="A106" i="11"/>
  <c r="A105" i="11"/>
  <c r="A104" i="11"/>
  <c r="A103" i="11"/>
  <c r="C80" i="11"/>
  <c r="C92" i="11" s="1"/>
  <c r="B66" i="11"/>
  <c r="A55" i="1"/>
  <c r="H68" i="11"/>
  <c r="H67" i="11"/>
  <c r="C67" i="11"/>
  <c r="D67" i="11"/>
  <c r="E67" i="11"/>
  <c r="F67" i="11"/>
  <c r="G67" i="11"/>
  <c r="C68" i="11"/>
  <c r="D68" i="11"/>
  <c r="E68" i="11"/>
  <c r="F68" i="11"/>
  <c r="G68" i="11"/>
  <c r="D66" i="11"/>
  <c r="E66" i="11"/>
  <c r="F66" i="11"/>
  <c r="G66" i="11"/>
  <c r="B64" i="11"/>
  <c r="B65" i="11"/>
  <c r="B67" i="11"/>
  <c r="B68" i="11"/>
  <c r="E64" i="11"/>
  <c r="F64" i="11"/>
  <c r="G64" i="11"/>
  <c r="D64" i="11"/>
  <c r="C65" i="11"/>
  <c r="D65" i="11"/>
  <c r="E65" i="11"/>
  <c r="F65" i="11"/>
  <c r="G65" i="11"/>
  <c r="C57" i="11"/>
  <c r="D57" i="11"/>
  <c r="E57" i="11"/>
  <c r="F57" i="11"/>
  <c r="G57" i="11"/>
  <c r="C58" i="11"/>
  <c r="D58" i="11"/>
  <c r="E58" i="11"/>
  <c r="F58" i="11"/>
  <c r="G58" i="11"/>
  <c r="C59" i="11"/>
  <c r="D59" i="11"/>
  <c r="E59" i="11"/>
  <c r="F59" i="11"/>
  <c r="G59" i="11"/>
  <c r="C60" i="11"/>
  <c r="D60" i="11"/>
  <c r="E60" i="11"/>
  <c r="F60" i="11"/>
  <c r="G60" i="11"/>
  <c r="C61" i="11"/>
  <c r="D61" i="11"/>
  <c r="E61" i="11"/>
  <c r="F61" i="11"/>
  <c r="G61" i="11"/>
  <c r="C62" i="11"/>
  <c r="D62" i="11"/>
  <c r="E62" i="11"/>
  <c r="F62" i="11"/>
  <c r="G62" i="11"/>
  <c r="C63" i="11"/>
  <c r="D63" i="11"/>
  <c r="E63" i="11"/>
  <c r="F63" i="11"/>
  <c r="G63" i="11"/>
  <c r="B58" i="11"/>
  <c r="B59" i="11"/>
  <c r="B60" i="11"/>
  <c r="B61" i="11"/>
  <c r="B62" i="11"/>
  <c r="B63" i="11"/>
  <c r="B57" i="11"/>
  <c r="C55" i="11"/>
  <c r="D55" i="11"/>
  <c r="E55" i="11"/>
  <c r="F55" i="11"/>
  <c r="G55" i="11"/>
  <c r="C54" i="11"/>
  <c r="D54" i="11"/>
  <c r="E54" i="11"/>
  <c r="F54" i="11"/>
  <c r="G54" i="11"/>
  <c r="C53" i="11"/>
  <c r="D53" i="11"/>
  <c r="E53" i="11"/>
  <c r="F53" i="11"/>
  <c r="G53" i="11"/>
  <c r="B53" i="11"/>
  <c r="B54" i="11"/>
  <c r="B55" i="11"/>
  <c r="D52" i="11"/>
  <c r="E52" i="11"/>
  <c r="F52" i="11"/>
  <c r="G52" i="11"/>
  <c r="E51" i="11"/>
  <c r="F51" i="11"/>
  <c r="G51" i="11"/>
  <c r="D51" i="11"/>
  <c r="C51" i="11"/>
  <c r="B51" i="11"/>
  <c r="E50" i="11"/>
  <c r="F50" i="11"/>
  <c r="G50" i="11"/>
  <c r="D50" i="11"/>
  <c r="D49" i="11"/>
  <c r="E49" i="11"/>
  <c r="F49" i="11"/>
  <c r="G49" i="11"/>
  <c r="C50" i="11"/>
  <c r="B50" i="11"/>
  <c r="E48" i="11"/>
  <c r="F48" i="11"/>
  <c r="G48" i="11"/>
  <c r="D48" i="11"/>
  <c r="C49" i="11"/>
  <c r="B49" i="11"/>
  <c r="C48" i="11"/>
  <c r="C47" i="11"/>
  <c r="B48" i="11"/>
  <c r="E47" i="11"/>
  <c r="F47" i="11"/>
  <c r="G47" i="11"/>
  <c r="D47" i="11"/>
  <c r="E46" i="11"/>
  <c r="F46" i="11"/>
  <c r="G46" i="11"/>
  <c r="D46" i="11"/>
  <c r="B47" i="11"/>
  <c r="H45" i="11"/>
  <c r="H46" i="11"/>
  <c r="H47" i="11"/>
  <c r="H49" i="11"/>
  <c r="H50" i="11"/>
  <c r="H51" i="11"/>
  <c r="H53" i="11"/>
  <c r="H54" i="11"/>
  <c r="H55" i="11"/>
  <c r="H57" i="11"/>
  <c r="H58" i="11"/>
  <c r="H59" i="11"/>
  <c r="H60" i="11"/>
  <c r="H61" i="11"/>
  <c r="H62" i="11"/>
  <c r="H63" i="11"/>
  <c r="H65" i="11"/>
  <c r="E45" i="11"/>
  <c r="F45" i="11"/>
  <c r="G45" i="11"/>
  <c r="D45" i="11"/>
  <c r="D43" i="11"/>
  <c r="E43" i="11"/>
  <c r="F43" i="11"/>
  <c r="G43" i="11"/>
  <c r="H27" i="11"/>
  <c r="H28" i="11"/>
  <c r="H30" i="11"/>
  <c r="H31" i="11"/>
  <c r="H32" i="11"/>
  <c r="H33" i="11"/>
  <c r="H34" i="11"/>
  <c r="H35" i="11"/>
  <c r="C30" i="11"/>
  <c r="D30" i="11"/>
  <c r="E30" i="11"/>
  <c r="F30" i="11"/>
  <c r="G30" i="11"/>
  <c r="C31" i="11"/>
  <c r="D31" i="11"/>
  <c r="E31" i="11"/>
  <c r="F31" i="11"/>
  <c r="G31" i="11"/>
  <c r="C32" i="11"/>
  <c r="D32" i="11"/>
  <c r="E32" i="11"/>
  <c r="F32" i="11"/>
  <c r="G32" i="11"/>
  <c r="C33" i="11"/>
  <c r="D33" i="11"/>
  <c r="E33" i="11"/>
  <c r="F33" i="11"/>
  <c r="G33" i="11"/>
  <c r="C34" i="11"/>
  <c r="D34" i="11"/>
  <c r="E34" i="11"/>
  <c r="F34" i="11"/>
  <c r="G34" i="11"/>
  <c r="C35" i="11"/>
  <c r="D35" i="11"/>
  <c r="E35" i="11"/>
  <c r="F35" i="11"/>
  <c r="G35" i="11"/>
  <c r="C36" i="11"/>
  <c r="D36" i="11"/>
  <c r="E36" i="11"/>
  <c r="F36" i="11"/>
  <c r="G36" i="11"/>
  <c r="C37" i="11"/>
  <c r="D37" i="11"/>
  <c r="E37" i="11"/>
  <c r="F37" i="11"/>
  <c r="G37" i="11"/>
  <c r="B31" i="11"/>
  <c r="B32" i="11"/>
  <c r="B33" i="11"/>
  <c r="B34" i="11"/>
  <c r="B35" i="11"/>
  <c r="B36" i="11"/>
  <c r="B37" i="11"/>
  <c r="B30" i="11"/>
  <c r="E28" i="11"/>
  <c r="F28" i="11"/>
  <c r="G28" i="11"/>
  <c r="D28" i="11"/>
  <c r="D27" i="11"/>
  <c r="E27" i="11"/>
  <c r="F27" i="11"/>
  <c r="G27" i="11"/>
  <c r="C27" i="11"/>
  <c r="C28" i="11"/>
  <c r="B27" i="11"/>
  <c r="B28" i="11"/>
  <c r="D26" i="11"/>
  <c r="E26" i="11"/>
  <c r="F26" i="11"/>
  <c r="G26" i="11"/>
  <c r="D25" i="11"/>
  <c r="E25" i="11"/>
  <c r="F25" i="11"/>
  <c r="G25" i="11"/>
  <c r="A37" i="11"/>
  <c r="A36" i="11"/>
  <c r="A26" i="11"/>
  <c r="A27" i="11"/>
  <c r="A28" i="11"/>
  <c r="A29" i="11"/>
  <c r="A30" i="11"/>
  <c r="A31" i="11"/>
  <c r="A32" i="11"/>
  <c r="A33" i="11"/>
  <c r="A34" i="11"/>
  <c r="A35" i="11"/>
  <c r="A25" i="11"/>
  <c r="B20" i="11"/>
  <c r="C19" i="11"/>
  <c r="E18" i="11"/>
  <c r="F18" i="11"/>
  <c r="G18" i="11"/>
  <c r="D18" i="11"/>
  <c r="C17" i="11"/>
  <c r="C16" i="11"/>
  <c r="B17" i="11"/>
  <c r="B16" i="11"/>
  <c r="C15" i="11"/>
  <c r="B15" i="11"/>
  <c r="C14" i="11"/>
  <c r="B14" i="11"/>
  <c r="C13" i="11"/>
  <c r="B13" i="11"/>
  <c r="C12" i="11"/>
  <c r="D12" i="11"/>
  <c r="E12" i="11"/>
  <c r="F12" i="11"/>
  <c r="G12" i="11"/>
  <c r="B12" i="11"/>
  <c r="D11" i="11"/>
  <c r="E11" i="11"/>
  <c r="F11" i="11"/>
  <c r="G11" i="11"/>
  <c r="A13" i="11"/>
  <c r="A14" i="11"/>
  <c r="A15" i="11"/>
  <c r="A16" i="11"/>
  <c r="A17" i="11"/>
  <c r="A19" i="11"/>
  <c r="A20" i="11"/>
  <c r="A12" i="11"/>
  <c r="A11" i="11"/>
  <c r="E7" i="11"/>
  <c r="B118" i="11" s="1"/>
  <c r="D7" i="11"/>
  <c r="A7" i="11"/>
  <c r="A4" i="11"/>
  <c r="H3" i="11"/>
  <c r="H2" i="11"/>
  <c r="H1" i="11"/>
  <c r="E1" i="11"/>
  <c r="A1" i="11"/>
  <c r="H111" i="11"/>
  <c r="C41" i="1"/>
  <c r="A41" i="1"/>
  <c r="A24" i="1"/>
  <c r="C28" i="1"/>
  <c r="C29" i="1"/>
  <c r="C30" i="1"/>
  <c r="C31" i="1"/>
  <c r="C27" i="1"/>
  <c r="D1" i="8"/>
  <c r="A52" i="1"/>
  <c r="A61" i="1"/>
  <c r="A60" i="1"/>
  <c r="A32" i="1"/>
  <c r="I1" i="1"/>
  <c r="B9" i="8"/>
  <c r="C16" i="1"/>
  <c r="A16" i="1"/>
  <c r="C54" i="1"/>
  <c r="A54" i="1"/>
  <c r="I3" i="1"/>
  <c r="A43" i="1"/>
  <c r="A51" i="1"/>
  <c r="C10" i="1"/>
  <c r="B88" i="1" s="1"/>
  <c r="C9" i="1"/>
  <c r="B87" i="1" s="1"/>
  <c r="C8" i="1"/>
  <c r="B86" i="1" s="1"/>
  <c r="H11" i="1"/>
  <c r="H10" i="1"/>
  <c r="H9" i="1"/>
  <c r="H8" i="1"/>
  <c r="C42" i="1"/>
  <c r="C40" i="1"/>
  <c r="C52" i="1"/>
  <c r="C26" i="1"/>
  <c r="A26" i="1"/>
  <c r="A25" i="1"/>
  <c r="C56" i="1"/>
  <c r="C58" i="1"/>
  <c r="C60" i="1"/>
  <c r="C61" i="1"/>
  <c r="A56" i="1"/>
  <c r="A57" i="1"/>
  <c r="G53" i="1"/>
  <c r="C50" i="1"/>
  <c r="C103" i="1" s="1"/>
  <c r="A50" i="1"/>
  <c r="A103" i="1" s="1"/>
  <c r="C47" i="1"/>
  <c r="A47" i="1"/>
  <c r="A46" i="1"/>
  <c r="A45" i="1"/>
  <c r="A42" i="1"/>
  <c r="C39" i="1"/>
  <c r="A40" i="1"/>
  <c r="A39" i="1"/>
  <c r="F11" i="3"/>
  <c r="I2" i="1"/>
  <c r="B9" i="1"/>
  <c r="A1" i="8" l="1"/>
  <c r="A16" i="8"/>
  <c r="A17" i="8"/>
  <c r="B41" i="1"/>
  <c r="B69" i="1"/>
  <c r="B25" i="11"/>
  <c r="C25" i="11"/>
  <c r="H25" i="11"/>
  <c r="A21" i="1"/>
  <c r="C66" i="11"/>
  <c r="H66" i="11"/>
  <c r="H48" i="11"/>
  <c r="B24" i="1"/>
  <c r="C55" i="1"/>
  <c r="C21" i="1"/>
  <c r="C26" i="11"/>
  <c r="A22" i="1"/>
  <c r="C73" i="11"/>
  <c r="C22" i="1"/>
  <c r="H26" i="11"/>
  <c r="B26" i="11"/>
  <c r="B5" i="2"/>
  <c r="B5" i="3" s="1"/>
  <c r="D14" i="11"/>
  <c r="B17" i="1"/>
  <c r="B105" i="1"/>
  <c r="B101" i="1"/>
  <c r="B103" i="1"/>
  <c r="B31" i="1"/>
  <c r="B98" i="1"/>
  <c r="B21" i="1"/>
  <c r="F53" i="1"/>
  <c r="B96" i="1"/>
  <c r="B102" i="1"/>
  <c r="B104" i="1"/>
  <c r="B58" i="1"/>
  <c r="B93" i="1"/>
  <c r="B94" i="1"/>
  <c r="B84" i="1"/>
  <c r="B18" i="1"/>
  <c r="B95" i="1"/>
  <c r="B50" i="1"/>
  <c r="F49" i="1"/>
  <c r="B65" i="1"/>
  <c r="B56" i="1"/>
  <c r="B15" i="1"/>
  <c r="B39" i="1"/>
  <c r="B82" i="1"/>
  <c r="A9" i="1"/>
  <c r="B32" i="1"/>
  <c r="B23" i="1"/>
  <c r="B38" i="1"/>
  <c r="B77" i="1"/>
  <c r="B73" i="1"/>
  <c r="B25" i="1"/>
  <c r="B42" i="1"/>
  <c r="A7" i="1"/>
  <c r="B90" i="1"/>
  <c r="A5" i="1"/>
  <c r="A4" i="1"/>
  <c r="A3" i="1"/>
  <c r="B46" i="1"/>
  <c r="B14" i="1"/>
  <c r="B27" i="1"/>
  <c r="B48" i="1"/>
  <c r="E13" i="1"/>
  <c r="G7" i="1"/>
  <c r="B44" i="1"/>
  <c r="D7" i="1"/>
  <c r="I7" i="1"/>
  <c r="B64" i="1"/>
  <c r="B37" i="1"/>
  <c r="B110" i="1"/>
  <c r="B78" i="1"/>
  <c r="B100" i="1"/>
  <c r="B54" i="1"/>
  <c r="B52" i="1"/>
  <c r="B22" i="1"/>
  <c r="B107" i="1"/>
  <c r="B51" i="1"/>
  <c r="E7" i="1"/>
  <c r="E93" i="1"/>
  <c r="B99" i="1"/>
  <c r="B30" i="1"/>
  <c r="B29" i="1"/>
  <c r="B26" i="1"/>
  <c r="B16" i="1"/>
  <c r="A1" i="1"/>
  <c r="B55" i="1"/>
  <c r="B53" i="1"/>
  <c r="B57" i="1"/>
  <c r="B40" i="1"/>
  <c r="B79" i="1"/>
  <c r="B45" i="1"/>
  <c r="B47" i="1"/>
  <c r="B109" i="1"/>
  <c r="B43" i="1"/>
  <c r="B28" i="1"/>
  <c r="B66" i="1"/>
  <c r="E41" i="1"/>
  <c r="B20" i="1"/>
  <c r="B13" i="1"/>
  <c r="B36" i="1"/>
  <c r="G13" i="11"/>
  <c r="F112" i="11"/>
  <c r="E112" i="11"/>
  <c r="C11" i="11"/>
  <c r="B8" i="8"/>
  <c r="A6" i="11"/>
  <c r="A6" i="2"/>
  <c r="B1" i="1"/>
  <c r="A2" i="8" s="1"/>
  <c r="A1" i="2"/>
  <c r="A1" i="3" s="1"/>
  <c r="C1" i="11"/>
  <c r="H4" i="11"/>
  <c r="F3" i="2"/>
  <c r="B7" i="1"/>
  <c r="A4" i="7" s="1"/>
  <c r="A2" i="11"/>
  <c r="A20" i="8"/>
  <c r="B71" i="1"/>
  <c r="B11" i="11"/>
  <c r="C13" i="1"/>
  <c r="C11" i="1"/>
  <c r="B89" i="1" s="1"/>
  <c r="C77" i="1"/>
  <c r="C93" i="1" s="1"/>
  <c r="D4" i="7"/>
  <c r="E5" i="2"/>
  <c r="D5" i="3" s="1"/>
  <c r="A113" i="11"/>
  <c r="F7" i="1"/>
  <c r="C4" i="7"/>
  <c r="A77" i="1"/>
  <c r="A93" i="1" s="1"/>
  <c r="E77" i="1"/>
  <c r="A22" i="8"/>
  <c r="A71" i="11"/>
  <c r="A28" i="8"/>
  <c r="A36" i="8"/>
  <c r="A33" i="8"/>
  <c r="A82" i="11"/>
  <c r="A93" i="11"/>
  <c r="A114" i="11"/>
  <c r="A74" i="11"/>
  <c r="E78" i="1"/>
  <c r="A34" i="8"/>
  <c r="A42" i="8"/>
  <c r="A44" i="8"/>
  <c r="A84" i="11"/>
  <c r="A95" i="11"/>
  <c r="A116" i="11"/>
  <c r="D4" i="11"/>
  <c r="G112" i="11"/>
  <c r="A7" i="8"/>
  <c r="A11" i="8"/>
  <c r="C26" i="8"/>
  <c r="A85" i="11"/>
  <c r="A97" i="11"/>
  <c r="A118" i="11"/>
  <c r="A24" i="8"/>
  <c r="A15" i="8"/>
  <c r="A41" i="8"/>
  <c r="A30" i="8"/>
  <c r="A87" i="11"/>
  <c r="A119" i="11"/>
  <c r="A35" i="8"/>
  <c r="A4" i="8"/>
  <c r="F26" i="8"/>
  <c r="A89" i="11"/>
  <c r="A99" i="11"/>
  <c r="D112" i="11"/>
  <c r="A101" i="11"/>
  <c r="A29" i="8"/>
  <c r="A12" i="8"/>
  <c r="A9" i="8"/>
  <c r="D26" i="8"/>
  <c r="A91" i="11"/>
  <c r="A111" i="11"/>
  <c r="D19" i="11"/>
  <c r="E16" i="1"/>
  <c r="A10" i="8"/>
  <c r="A19" i="8"/>
  <c r="E26" i="8"/>
  <c r="A92" i="11"/>
  <c r="A112" i="11"/>
  <c r="A23" i="11"/>
  <c r="A121" i="11"/>
  <c r="C90" i="1"/>
  <c r="A90" i="1"/>
  <c r="B30" i="2"/>
  <c r="C6" i="3"/>
  <c r="C5" i="7" s="1"/>
  <c r="E39" i="1"/>
  <c r="B70" i="1"/>
  <c r="F10" i="1"/>
  <c r="F17" i="2"/>
  <c r="C104" i="1"/>
  <c r="F8" i="1"/>
  <c r="E42" i="1"/>
  <c r="E28" i="1"/>
  <c r="A132" i="11"/>
  <c r="C132" i="11" s="1"/>
  <c r="E3" i="1"/>
  <c r="C18" i="1"/>
  <c r="E18" i="1" s="1"/>
  <c r="A14" i="8"/>
  <c r="A39" i="8"/>
  <c r="A8" i="8"/>
  <c r="A31" i="8"/>
  <c r="A21" i="8"/>
  <c r="A13" i="8"/>
  <c r="A38" i="8"/>
  <c r="B26" i="8"/>
  <c r="H7" i="1"/>
  <c r="B74" i="1"/>
  <c r="B75" i="1"/>
  <c r="C2" i="7" l="1"/>
  <c r="E13" i="11"/>
  <c r="C34" i="1"/>
  <c r="C82" i="1" s="1"/>
  <c r="C39" i="11"/>
  <c r="C38" i="11"/>
  <c r="C97" i="11" s="1"/>
  <c r="B38" i="11"/>
  <c r="B97" i="11" s="1"/>
  <c r="B73" i="11"/>
  <c r="F13" i="11"/>
  <c r="E11" i="1"/>
  <c r="E10" i="1"/>
  <c r="I10" i="1" s="1"/>
  <c r="E9" i="1"/>
  <c r="D13" i="11"/>
  <c r="H112" i="11"/>
  <c r="E8" i="1"/>
  <c r="B8" i="1"/>
  <c r="A5" i="3"/>
  <c r="B7" i="8"/>
  <c r="A109" i="2"/>
  <c r="E7" i="2"/>
  <c r="A51" i="2"/>
  <c r="A32" i="2"/>
  <c r="B16" i="2"/>
  <c r="A61" i="2"/>
  <c r="A45" i="2"/>
  <c r="B6" i="2"/>
  <c r="A50" i="2"/>
  <c r="A41" i="2"/>
  <c r="A39" i="2"/>
  <c r="A4" i="2"/>
  <c r="A33" i="2"/>
  <c r="A82" i="2"/>
  <c r="A3" i="2"/>
  <c r="A35" i="2"/>
  <c r="A72" i="2"/>
  <c r="E16" i="2"/>
  <c r="B17" i="2"/>
  <c r="A79" i="2"/>
  <c r="A102" i="2"/>
  <c r="A110" i="2"/>
  <c r="A97" i="2"/>
  <c r="A111" i="2"/>
  <c r="A52" i="2"/>
  <c r="A107" i="2"/>
  <c r="A60" i="2"/>
  <c r="B8" i="2"/>
  <c r="E9" i="2"/>
  <c r="A86" i="2"/>
  <c r="A12" i="2"/>
  <c r="A53" i="2"/>
  <c r="E6" i="2"/>
  <c r="E14" i="2"/>
  <c r="E17" i="2"/>
  <c r="A59" i="2"/>
  <c r="A30" i="2"/>
  <c r="A40" i="2"/>
  <c r="A47" i="2"/>
  <c r="A57" i="2"/>
  <c r="A103" i="2"/>
  <c r="A96" i="2"/>
  <c r="A105" i="2"/>
  <c r="B7" i="2"/>
  <c r="A68" i="2"/>
  <c r="A81" i="2"/>
  <c r="A64" i="2"/>
  <c r="A92" i="2"/>
  <c r="A38" i="2"/>
  <c r="B11" i="2"/>
  <c r="A89" i="2"/>
  <c r="B14" i="2"/>
  <c r="A71" i="2"/>
  <c r="A56" i="2"/>
  <c r="B9" i="2"/>
  <c r="A91" i="2"/>
  <c r="A116" i="2"/>
  <c r="A58" i="2"/>
  <c r="A29" i="2"/>
  <c r="C30" i="2"/>
  <c r="A112" i="2"/>
  <c r="A55" i="2"/>
  <c r="A87" i="2"/>
  <c r="A62" i="2"/>
  <c r="A95" i="2"/>
  <c r="F30" i="2"/>
  <c r="A77" i="2"/>
  <c r="A76" i="2"/>
  <c r="A66" i="2"/>
  <c r="A78" i="2"/>
  <c r="A37" i="2"/>
  <c r="A73" i="2"/>
  <c r="E11" i="2"/>
  <c r="A34" i="2"/>
  <c r="E10" i="2"/>
  <c r="A36" i="2"/>
  <c r="A49" i="2"/>
  <c r="A54" i="2"/>
  <c r="A80" i="2"/>
  <c r="B10" i="2"/>
  <c r="A88" i="2"/>
  <c r="A43" i="2"/>
  <c r="E8" i="2"/>
  <c r="A74" i="2"/>
  <c r="A101" i="2"/>
  <c r="A114" i="2"/>
  <c r="A75" i="2"/>
  <c r="A84" i="2"/>
  <c r="A70" i="2"/>
  <c r="A42" i="2"/>
  <c r="A94" i="2"/>
  <c r="F101" i="2"/>
  <c r="A99" i="2"/>
  <c r="E1" i="3"/>
  <c r="A15" i="1"/>
  <c r="C15" i="1"/>
  <c r="E30" i="2"/>
  <c r="E6" i="3"/>
  <c r="D5" i="7" s="1"/>
  <c r="E44" i="11" l="1"/>
  <c r="C52" i="11"/>
  <c r="A19" i="3"/>
  <c r="A20" i="3"/>
  <c r="A18" i="3"/>
  <c r="A17" i="3"/>
  <c r="F16" i="2"/>
  <c r="C94" i="1"/>
  <c r="B39" i="11"/>
  <c r="I8" i="1"/>
  <c r="G44" i="11"/>
  <c r="F44" i="11"/>
  <c r="I11" i="1"/>
  <c r="G11" i="1"/>
  <c r="G10" i="1"/>
  <c r="J10" i="1"/>
  <c r="G9" i="1"/>
  <c r="G8" i="1"/>
  <c r="B3" i="3"/>
  <c r="A22" i="3"/>
  <c r="D3" i="3"/>
  <c r="A13" i="3"/>
  <c r="A45" i="3"/>
  <c r="A48" i="3"/>
  <c r="A41" i="3"/>
  <c r="A43" i="3"/>
  <c r="A50" i="3"/>
  <c r="B10" i="3"/>
  <c r="D7" i="3"/>
  <c r="A29" i="3"/>
  <c r="D11" i="3"/>
  <c r="A39" i="3"/>
  <c r="A25" i="3"/>
  <c r="A3" i="3"/>
  <c r="A35" i="3"/>
  <c r="B6" i="3"/>
  <c r="A34" i="3"/>
  <c r="A38" i="3"/>
  <c r="A54" i="3"/>
  <c r="A26" i="3"/>
  <c r="A46" i="3"/>
  <c r="A28" i="3"/>
  <c r="B8" i="3"/>
  <c r="A52" i="3"/>
  <c r="A31" i="3"/>
  <c r="A27" i="3"/>
  <c r="D6" i="3"/>
  <c r="B7" i="3"/>
  <c r="D8" i="3"/>
  <c r="B9" i="3"/>
  <c r="A14" i="3"/>
  <c r="A33" i="3"/>
  <c r="D10" i="3"/>
  <c r="A36" i="3"/>
  <c r="A15" i="3"/>
  <c r="D9" i="3"/>
  <c r="A21" i="3"/>
  <c r="A32" i="3"/>
  <c r="B11" i="3"/>
  <c r="A24" i="3"/>
  <c r="F11" i="2"/>
  <c r="F12" i="2"/>
  <c r="F29" i="11"/>
  <c r="G73" i="1"/>
  <c r="G74" i="1" s="1"/>
  <c r="G75" i="1" s="1"/>
  <c r="G76" i="1" s="1"/>
  <c r="C11" i="2"/>
  <c r="C12" i="2"/>
  <c r="A44" i="1" l="1"/>
  <c r="A102" i="1" s="1"/>
  <c r="C16" i="2"/>
  <c r="I9" i="1"/>
  <c r="J9" i="1" s="1"/>
  <c r="A23" i="1"/>
  <c r="J8" i="1"/>
  <c r="A38" i="1"/>
  <c r="D44" i="11"/>
  <c r="H44" i="11"/>
  <c r="J11" i="1"/>
  <c r="G29" i="11"/>
  <c r="E29" i="11"/>
  <c r="F7" i="2"/>
  <c r="C7" i="2"/>
  <c r="C43" i="11"/>
  <c r="A37" i="1"/>
  <c r="E11" i="3"/>
  <c r="F10" i="2"/>
  <c r="E10" i="3" s="1"/>
  <c r="C44" i="1"/>
  <c r="C102" i="1" s="1"/>
  <c r="B52" i="11"/>
  <c r="H52" i="11"/>
  <c r="H43" i="11"/>
  <c r="B43" i="11"/>
  <c r="C37" i="1"/>
  <c r="C99" i="1" s="1"/>
  <c r="C11" i="3"/>
  <c r="C10" i="2"/>
  <c r="C10" i="3" s="1"/>
  <c r="F38" i="11"/>
  <c r="F97" i="11" s="1"/>
  <c r="H29" i="11" l="1"/>
  <c r="D29" i="11"/>
  <c r="F8" i="2"/>
  <c r="C7" i="3"/>
  <c r="A99" i="1"/>
  <c r="G38" i="11"/>
  <c r="G97" i="11" s="1"/>
  <c r="E38" i="11"/>
  <c r="E97" i="11" s="1"/>
  <c r="A34" i="1"/>
  <c r="C8" i="2"/>
  <c r="E7" i="3"/>
  <c r="F73" i="11"/>
  <c r="D38" i="11" l="1"/>
  <c r="D97" i="11" s="1"/>
  <c r="D73" i="11"/>
  <c r="E8" i="3"/>
  <c r="C8" i="3"/>
  <c r="H38" i="11"/>
  <c r="H97" i="11" s="1"/>
  <c r="H73" i="11"/>
  <c r="G73" i="11"/>
  <c r="A94" i="1"/>
  <c r="A82" i="1"/>
  <c r="C65" i="1"/>
  <c r="E73" i="11"/>
  <c r="F56" i="11" l="1"/>
  <c r="F69" i="11" l="1"/>
  <c r="F91" i="11" s="1"/>
  <c r="F77" i="11"/>
  <c r="F104" i="11"/>
  <c r="G104" i="11" l="1"/>
  <c r="G69" i="11"/>
  <c r="G91" i="11" s="1"/>
  <c r="G56" i="11"/>
  <c r="F74" i="11"/>
  <c r="G74" i="11"/>
  <c r="G77" i="11" l="1"/>
  <c r="H56" i="11" l="1"/>
  <c r="D77" i="11"/>
  <c r="D104" i="11"/>
  <c r="E104" i="11"/>
  <c r="A48" i="1"/>
  <c r="C48" i="1"/>
  <c r="C62" i="1" s="1"/>
  <c r="C98" i="1" s="1"/>
  <c r="D56" i="11"/>
  <c r="E56" i="11"/>
  <c r="B69" i="11"/>
  <c r="B91" i="11" s="1"/>
  <c r="D69" i="11"/>
  <c r="D91" i="11" s="1"/>
  <c r="E69" i="11"/>
  <c r="E74" i="11"/>
  <c r="E91" i="11"/>
  <c r="C104" i="11" l="1"/>
  <c r="C78" i="1"/>
  <c r="G49" i="1"/>
  <c r="D74" i="11"/>
  <c r="B74" i="11"/>
  <c r="E77" i="11"/>
  <c r="H104" i="11" l="1"/>
  <c r="H48" i="1"/>
  <c r="I48" i="1"/>
  <c r="I49" i="1"/>
  <c r="H49" i="1"/>
  <c r="B77" i="11"/>
  <c r="B82" i="11" l="1"/>
  <c r="B80" i="11"/>
  <c r="B92" i="11" s="1"/>
  <c r="C71" i="1"/>
  <c r="B137" i="11"/>
  <c r="B138" i="11" l="1"/>
  <c r="H64" i="11"/>
  <c r="H69" i="11"/>
  <c r="A53" i="1"/>
  <c r="A62" i="1" s="1"/>
  <c r="A78" i="1" s="1"/>
  <c r="C64" i="11"/>
  <c r="H75" i="11"/>
  <c r="C17" i="2"/>
  <c r="A104" i="1" l="1"/>
  <c r="A98" i="1"/>
  <c r="C66" i="1"/>
  <c r="C67" i="1" s="1"/>
  <c r="C69" i="11"/>
  <c r="C91" i="11" s="1"/>
  <c r="D19" i="8" l="1"/>
  <c r="C74" i="11"/>
  <c r="B49" i="1"/>
  <c r="B67" i="1"/>
  <c r="H91" i="11"/>
  <c r="C77" i="11" l="1"/>
  <c r="H74" i="11"/>
  <c r="H77" i="11" l="1"/>
  <c r="C82" i="11"/>
  <c r="G80" i="11"/>
  <c r="G92" i="11" s="1"/>
  <c r="G82" i="11"/>
  <c r="F80" i="11"/>
  <c r="F92" i="11" s="1"/>
  <c r="F82" i="11"/>
  <c r="E84" i="11" l="1"/>
  <c r="B84" i="11"/>
  <c r="F84" i="11"/>
  <c r="G84" i="11"/>
  <c r="C84" i="11"/>
  <c r="D84" i="11"/>
  <c r="E80" i="11"/>
  <c r="E92" i="11" s="1"/>
  <c r="E82" i="11"/>
  <c r="H80" i="11"/>
  <c r="D80" i="11"/>
  <c r="D92" i="11" s="1"/>
  <c r="C70" i="1"/>
  <c r="F135" i="11" l="1"/>
  <c r="H84" i="11"/>
  <c r="H85" i="11" s="1"/>
  <c r="F105" i="11"/>
  <c r="C85" i="11"/>
  <c r="D82" i="11"/>
  <c r="G105" i="11"/>
  <c r="G85" i="11"/>
  <c r="H92" i="11"/>
  <c r="C69" i="1"/>
  <c r="C73" i="1" s="1"/>
  <c r="D85" i="11"/>
  <c r="G135" i="11"/>
  <c r="E85" i="11" l="1"/>
  <c r="F85" i="11"/>
  <c r="B85" i="11"/>
  <c r="H135" i="11"/>
  <c r="D135" i="11"/>
  <c r="E135" i="11"/>
  <c r="E105" i="11"/>
  <c r="D105" i="11"/>
  <c r="H82" i="11"/>
  <c r="C105" i="11" l="1"/>
  <c r="H105" i="11"/>
  <c r="C74" i="1"/>
  <c r="C87" i="11"/>
  <c r="C93" i="11" s="1"/>
  <c r="C95" i="11" s="1"/>
  <c r="C99" i="11" s="1"/>
  <c r="B87" i="11"/>
  <c r="B93" i="11" s="1"/>
  <c r="B95" i="11" s="1"/>
  <c r="E87" i="11"/>
  <c r="E93" i="11" s="1"/>
  <c r="D87" i="11"/>
  <c r="D93" i="11" s="1"/>
  <c r="G87" i="11"/>
  <c r="G93" i="11" s="1"/>
  <c r="F87" i="11"/>
  <c r="F93" i="11" s="1"/>
  <c r="F95" i="11" l="1"/>
  <c r="F99" i="11" s="1"/>
  <c r="B99" i="11"/>
  <c r="G95" i="11"/>
  <c r="G99" i="11" s="1"/>
  <c r="H87" i="11"/>
  <c r="H93" i="11" s="1"/>
  <c r="D95" i="11"/>
  <c r="D99" i="11" s="1"/>
  <c r="E74" i="1"/>
  <c r="E75" i="1" s="1"/>
  <c r="H74" i="1"/>
  <c r="A79" i="1"/>
  <c r="C75" i="1"/>
  <c r="C79" i="1" s="1"/>
  <c r="E95" i="11"/>
  <c r="E99" i="11" s="1"/>
  <c r="G136" i="11" l="1"/>
  <c r="G138" i="11"/>
  <c r="D136" i="11"/>
  <c r="H136" i="11"/>
  <c r="D138" i="11"/>
  <c r="H137" i="11"/>
  <c r="C137" i="11"/>
  <c r="D106" i="11"/>
  <c r="D114" i="11" s="1"/>
  <c r="F136" i="11"/>
  <c r="F138" i="11"/>
  <c r="F79" i="1"/>
  <c r="C81" i="1"/>
  <c r="C84" i="1" s="1"/>
  <c r="E79" i="1"/>
  <c r="A81" i="1"/>
  <c r="A84" i="1" s="1"/>
  <c r="H95" i="11"/>
  <c r="H99" i="11" s="1"/>
  <c r="E106" i="11"/>
  <c r="E114" i="11" s="1"/>
  <c r="C103" i="11"/>
  <c r="E136" i="11"/>
  <c r="E138" i="11"/>
  <c r="G106" i="11"/>
  <c r="G114" i="11" s="1"/>
  <c r="F106" i="11"/>
  <c r="F114" i="11" s="1"/>
  <c r="C114" i="11" l="1"/>
  <c r="H114" i="11" s="1"/>
  <c r="H106" i="11"/>
  <c r="C106" i="11"/>
  <c r="H125" i="11"/>
  <c r="D125" i="11"/>
  <c r="C108" i="11"/>
  <c r="E125" i="11"/>
  <c r="A95" i="1"/>
  <c r="C95" i="1"/>
  <c r="E84" i="1"/>
  <c r="F125" i="11"/>
  <c r="G125" i="11"/>
  <c r="C109" i="11"/>
  <c r="C138" i="11"/>
  <c r="H138" i="11"/>
  <c r="C100" i="1" l="1"/>
  <c r="C107" i="1" s="1"/>
  <c r="A96" i="1"/>
  <c r="C96" i="1"/>
  <c r="A100" i="1"/>
  <c r="A107" i="1" s="1"/>
  <c r="C113" i="11"/>
  <c r="C116" i="11" s="1"/>
  <c r="E107" i="1" l="1"/>
  <c r="C109" i="1"/>
  <c r="C110" i="1" s="1"/>
  <c r="E96" i="1"/>
  <c r="A109" i="1"/>
  <c r="A110" i="1" s="1"/>
  <c r="D119" i="11"/>
  <c r="E119" i="11"/>
  <c r="F119" i="11"/>
  <c r="G119" i="11"/>
  <c r="F113" i="11"/>
  <c r="F118" i="11" s="1"/>
  <c r="G113" i="11"/>
  <c r="G118" i="11" s="1"/>
  <c r="D113" i="11"/>
  <c r="D118" i="11" s="1"/>
  <c r="E113" i="11"/>
  <c r="E118" i="11" s="1"/>
  <c r="E109" i="1" l="1"/>
  <c r="E110" i="1" s="1"/>
  <c r="C118" i="11"/>
  <c r="H118" i="11" s="1"/>
  <c r="H113" i="11"/>
  <c r="C119" i="11"/>
  <c r="H119" i="11" s="1"/>
  <c r="G126" i="11"/>
  <c r="A86" i="1"/>
  <c r="D86" i="1" s="1"/>
  <c r="C86" i="1"/>
  <c r="E86" i="1"/>
  <c r="A87" i="1"/>
  <c r="D87" i="1" s="1"/>
  <c r="C87" i="1"/>
  <c r="E87" i="1"/>
  <c r="A91" i="1"/>
  <c r="B91" i="1" s="1"/>
  <c r="C91" i="1"/>
  <c r="D91" i="1"/>
  <c r="C123" i="11"/>
  <c r="D126" i="11"/>
  <c r="E126" i="11"/>
  <c r="D127" i="11"/>
  <c r="E127" i="11"/>
  <c r="D129" i="11"/>
  <c r="E129" i="11"/>
  <c r="C131" i="11"/>
  <c r="G127" i="11" l="1"/>
  <c r="H126" i="11"/>
  <c r="F126" i="11"/>
  <c r="F127" i="11"/>
  <c r="H127" i="11"/>
  <c r="E91" i="1"/>
  <c r="H129" i="11" l="1"/>
  <c r="A88" i="1"/>
  <c r="C88" i="1"/>
  <c r="F129" i="11"/>
  <c r="C89" i="1"/>
  <c r="G129" i="11"/>
  <c r="A89" i="1"/>
  <c r="D88" i="1" l="1"/>
  <c r="E88" i="1"/>
  <c r="D89" i="1"/>
  <c r="E89" i="1"/>
  <c r="E48" i="1" l="1"/>
  <c r="B56" i="11"/>
  <c r="C5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Bähler und Annette Spycher</author>
    <author>Nadja Madjid</author>
    <author>Daniel Bähler</author>
  </authors>
  <commentList>
    <comment ref="A4" authorId="0" shapeId="0" xr:uid="{00000000-0006-0000-0000-000001000000}">
      <text>
        <r>
          <rPr>
            <b/>
            <sz val="9"/>
            <color indexed="81"/>
            <rFont val="Arial"/>
            <family val="2"/>
          </rPr>
          <t>Bitte beachten:</t>
        </r>
        <r>
          <rPr>
            <sz val="9"/>
            <color indexed="81"/>
            <rFont val="Arial"/>
            <family val="2"/>
          </rPr>
          <t xml:space="preserve">
</t>
        </r>
        <r>
          <rPr>
            <i/>
            <sz val="9"/>
            <color indexed="81"/>
            <rFont val="Arial"/>
            <family val="2"/>
          </rPr>
          <t>Gelb unterlegte</t>
        </r>
        <r>
          <rPr>
            <sz val="9"/>
            <color indexed="81"/>
            <rFont val="Arial"/>
            <family val="2"/>
          </rPr>
          <t xml:space="preserve"> Zellen enthalten Formeln, die nur von erfahrenen Excel-AnwenderInnen abgeändert werden sollten.
In </t>
        </r>
        <r>
          <rPr>
            <i/>
            <sz val="9"/>
            <color indexed="81"/>
            <rFont val="Arial"/>
            <family val="2"/>
          </rPr>
          <t>grün unterlegte</t>
        </r>
        <r>
          <rPr>
            <sz val="9"/>
            <color indexed="81"/>
            <rFont val="Arial"/>
            <family val="2"/>
          </rPr>
          <t xml:space="preserve"> Zellen können Eingaben gemacht werden. Dabei ist allerdings zu beachten, dass die Vorgaben (Formeln) überschrieben und nicht wieder hergestellt werden.
In </t>
        </r>
        <r>
          <rPr>
            <i/>
            <sz val="9"/>
            <color indexed="81"/>
            <rFont val="Arial"/>
            <family val="2"/>
          </rPr>
          <t>weisse</t>
        </r>
        <r>
          <rPr>
            <sz val="9"/>
            <color indexed="81"/>
            <rFont val="Arial"/>
            <family val="2"/>
          </rPr>
          <t xml:space="preserve"> Zellen können auf den Blättern "Unterhalt" und "Steuerangaben" Eingaben gemacht werden.
Zahlen, die in </t>
        </r>
        <r>
          <rPr>
            <i/>
            <sz val="9"/>
            <color indexed="81"/>
            <rFont val="Arial"/>
            <family val="2"/>
          </rPr>
          <t xml:space="preserve">roter </t>
        </r>
        <r>
          <rPr>
            <sz val="9"/>
            <color indexed="81"/>
            <rFont val="Arial"/>
            <family val="2"/>
          </rPr>
          <t>Farbe erscheinen, werden direkt oder für die Berechnung von Abzügen in die Steuerberechnung übernommen.</t>
        </r>
      </text>
    </comment>
    <comment ref="H4" authorId="0" shapeId="0" xr:uid="{00000000-0006-0000-0000-000002000000}">
      <text>
        <r>
          <rPr>
            <sz val="9"/>
            <color indexed="81"/>
            <rFont val="Arial"/>
            <family val="2"/>
          </rPr>
          <t>Das Alter der Kinder wird automatisch der hier eingegebenen Jahrzahl angepasst.</t>
        </r>
      </text>
    </comment>
    <comment ref="H8" authorId="0" shapeId="0" xr:uid="{00000000-0006-0000-0000-000003000000}">
      <text>
        <r>
          <rPr>
            <sz val="9"/>
            <color indexed="81"/>
            <rFont val="Arial"/>
            <family val="2"/>
          </rPr>
          <t>Wenn die Berechnung nicht für volle Jahre gilt, so müssen bei den Steuerangaben die Beträge kontrolliert werden. Bei den Einkünften und den sachlichen Abzügen sind die in der  Veranlagungsperiode (laufendes Kalenderjahr) effektiv geflossenen Beträge einzusetzen (keine Umrechnung auf 12 Monate). Die Sozialabzüge richten sich nach den Verhältnissen Ende Jahr (ausgenommen Teilung des Kinderabzugs im Jahr der Volljährigkeit pro rata temporis, was nicht automatisch erfolgt).</t>
        </r>
      </text>
    </comment>
    <comment ref="A12" authorId="1" shapeId="0" xr:uid="{00000000-0006-0000-0000-000004000000}">
      <text>
        <r>
          <rPr>
            <b/>
            <sz val="9"/>
            <color indexed="81"/>
            <rFont val="Arial"/>
            <family val="2"/>
          </rPr>
          <t xml:space="preserve">Siehe auch Kommentar, Abschnitt "3.1. Allgemeine Angaben (Hauptblatt)". </t>
        </r>
        <r>
          <rPr>
            <sz val="9"/>
            <color indexed="81"/>
            <rFont val="Arial"/>
            <family val="2"/>
          </rPr>
          <t xml:space="preserve">
Die Angabe des Jahrgangs ist für die Kinder zwingend. Erwachsene: wenn für sie Vorsorgeunterhalt zu berechnen ist.</t>
        </r>
        <r>
          <rPr>
            <sz val="9"/>
            <color indexed="81"/>
            <rFont val="Segoe UI"/>
            <family val="2"/>
          </rPr>
          <t xml:space="preserve">
</t>
        </r>
      </text>
    </comment>
    <comment ref="A13" authorId="1" shapeId="0" xr:uid="{853F1B67-ED8E-46DD-81F2-F77C7B1A6C42}">
      <text>
        <r>
          <rPr>
            <sz val="9"/>
            <color indexed="81"/>
            <rFont val="Arial"/>
            <family val="2"/>
          </rPr>
          <t>Bei volljährigen Kindern sind die Steuerangaben besonders sorgfältig zu überprüfen. Kein Abzug des Unterhaltsbeitrags beim unterhaltspflichtigen Elternteil, keine Anrechnung beim bisher hauptbetreuenden Elternteil. Kinder- und Versicherungsabzug beim unterhaltspflichtigen Elternteil, ev. Unterstützungsabzug beim bisher hauptbetreuenden Elternteil. Steuerermässigung beim Elternteil, bei dem das Kind lebt.</t>
        </r>
        <r>
          <rPr>
            <sz val="9"/>
            <color indexed="81"/>
            <rFont val="Segoe UI"/>
            <family val="2"/>
          </rPr>
          <t xml:space="preserve">
</t>
        </r>
      </text>
    </comment>
    <comment ref="A14" authorId="1" shapeId="0" xr:uid="{00000000-0006-0000-0000-000005000000}">
      <text>
        <r>
          <rPr>
            <b/>
            <sz val="9"/>
            <color indexed="81"/>
            <rFont val="Arial"/>
            <family val="2"/>
          </rPr>
          <t xml:space="preserve">Siehe auch Kommentar, Abschnitt "3.1. Allgemeine Angaben (Hauptblatt)". </t>
        </r>
        <r>
          <rPr>
            <sz val="9"/>
            <color indexed="81"/>
            <rFont val="Arial"/>
            <family val="2"/>
          </rPr>
          <t xml:space="preserve">
Die Angabe des Wohnsitzkantons ist vorab für die Steuerberechnung (sowie für Familienzulagen und Kommunikationspauschale) relevant. Diese ist aktuell verfügbar für die Kantone BE, ZH, AG, SO, BS, BL, LU, FR und SG. 
Die Steuerberechnung funktioniert nur für Personen mit Wohnsitz in den im Blatt "Grundlagen" aufgeführten Kantonen. Wohnt ein Ehegatte ausserhalb eines dieser Kantone, können die Steuern für den Ehegatten im Kanton mit automatischer Steuerberechnung berechnet werden, wenn für anderen Ehegatten ein Steuerbetrag angenommen wird.</t>
        </r>
      </text>
    </comment>
    <comment ref="A16" authorId="1" shapeId="0" xr:uid="{00000000-0006-0000-0000-000006000000}">
      <text>
        <r>
          <rPr>
            <b/>
            <sz val="9"/>
            <color indexed="81"/>
            <rFont val="Arial"/>
            <family val="2"/>
          </rPr>
          <t xml:space="preserve">Siehe auch Kommentar, Abschnitt "3.1. Allgemeine Angaben (Hauptblatt)". </t>
        </r>
        <r>
          <rPr>
            <sz val="9"/>
            <color indexed="81"/>
            <rFont val="Arial"/>
            <family val="2"/>
          </rPr>
          <t xml:space="preserve">
Die Angaben zum Einkommen bei voller Erwerbstätigkeit und zum Beschäftigungsgrad sind optional und dienen insbes.der Berechnung für spätere Perioden.</t>
        </r>
        <r>
          <rPr>
            <sz val="9"/>
            <color indexed="81"/>
            <rFont val="Segoe UI"/>
            <family val="2"/>
          </rPr>
          <t xml:space="preserve">
</t>
        </r>
      </text>
    </comment>
    <comment ref="A18" authorId="1" shapeId="0" xr:uid="{00000000-0006-0000-0000-000007000000}">
      <text>
        <r>
          <rPr>
            <b/>
            <sz val="9"/>
            <color indexed="81"/>
            <rFont val="Arial"/>
            <family val="2"/>
          </rPr>
          <t xml:space="preserve">Siehe auch Kommentar, Abschnitt "3.2. verfügbare Mittel (Einkommen)". </t>
        </r>
        <r>
          <rPr>
            <sz val="9"/>
            <color indexed="81"/>
            <rFont val="Arial"/>
            <family val="2"/>
          </rPr>
          <t xml:space="preserve">
Familienzulagen nach FamZG sind als Einkommen des Kindes einzusetzen. </t>
        </r>
        <r>
          <rPr>
            <sz val="9"/>
            <color indexed="81"/>
            <rFont val="Segoe UI"/>
            <family val="2"/>
          </rPr>
          <t xml:space="preserve">
</t>
        </r>
      </text>
    </comment>
    <comment ref="A19" authorId="1" shapeId="0" xr:uid="{00000000-0006-0000-0000-000008000000}">
      <text>
        <r>
          <rPr>
            <b/>
            <sz val="9"/>
            <color indexed="81"/>
            <rFont val="Arial"/>
            <family val="2"/>
          </rPr>
          <t xml:space="preserve">Siehe auch Kommentar, Abschnitt "3.1. Allgemeine Angaben (Hauptblatt)". 
</t>
        </r>
        <r>
          <rPr>
            <sz val="9"/>
            <color indexed="81"/>
            <rFont val="Arial"/>
            <family val="2"/>
          </rPr>
          <t>Bei Berechnung in Scheidungssituationen.</t>
        </r>
        <r>
          <rPr>
            <sz val="9"/>
            <color indexed="81"/>
            <rFont val="Segoe UI"/>
            <family val="2"/>
          </rPr>
          <t xml:space="preserve">
</t>
        </r>
      </text>
    </comment>
    <comment ref="A20" authorId="1" shapeId="0" xr:uid="{00000000-0006-0000-0000-000009000000}">
      <text>
        <r>
          <rPr>
            <b/>
            <sz val="9"/>
            <color indexed="81"/>
            <rFont val="Arial"/>
            <family val="2"/>
          </rPr>
          <t xml:space="preserve">Siehe auch Kommentar, Abschnitt "3.2. verfügbare Mittel (Einkommen)". </t>
        </r>
        <r>
          <rPr>
            <sz val="9"/>
            <color indexed="81"/>
            <rFont val="Arial"/>
            <family val="2"/>
          </rPr>
          <t xml:space="preserve">
Die Sparquote kann eingesetzt werden, sofern sie auch nach der Trennung weiterbesteht.  Das System teilt die Sparquote (gemäss Grundeinstellung vorgegeben) entsprechend dem Verhältnis der Nettoeinkommen der Parteien (ersichtlich in Prozentangaben, direkt unter dem Total der Einkommen) auf die Parteien auf; manuell können Anpassungen vorgenommen werden.</t>
        </r>
      </text>
    </comment>
    <comment ref="A24" authorId="1" shapeId="0" xr:uid="{00000000-0006-0000-0000-00000A000000}">
      <text>
        <r>
          <rPr>
            <sz val="9"/>
            <color indexed="81"/>
            <rFont val="Arial"/>
            <family val="2"/>
          </rPr>
          <t>pro Person (Familienzulagen u.ä. bei den Kindern einzusetzen)</t>
        </r>
      </text>
    </comment>
    <comment ref="A26" authorId="0" shapeId="0" xr:uid="{00000000-0006-0000-0000-00000B000000}">
      <text>
        <r>
          <rPr>
            <b/>
            <sz val="9"/>
            <color indexed="81"/>
            <rFont val="Arial"/>
            <family val="2"/>
          </rPr>
          <t>Siehe auch Kommentar, Abschnitte "3.2. Verfügbare Mittel (Einkommen)" und "3.3. Insbesondere Selbständigerwerbende"</t>
        </r>
        <r>
          <rPr>
            <sz val="9"/>
            <color indexed="81"/>
            <rFont val="Arial"/>
            <family val="2"/>
          </rPr>
          <t xml:space="preserve">. 
Monatliches Nettoeinkommen, d.h. </t>
        </r>
        <r>
          <rPr>
            <i/>
            <sz val="9"/>
            <color indexed="81"/>
            <rFont val="Arial"/>
            <family val="2"/>
          </rPr>
          <t>Bruttoeinkommen</t>
        </r>
        <r>
          <rPr>
            <sz val="9"/>
            <color indexed="81"/>
            <rFont val="Arial"/>
            <family val="2"/>
          </rPr>
          <t xml:space="preserve"> nach Abzug AHV/IV/EO/ALV, Beiträge Arbeitnehmer an Einrichtungen der beruflichen Vorsorge, Beiträge Arbeitnehmer für obligatorische Unfallversicherung, ggf. für Krankentaggeldversicherung). 
Andere Abzüge (z.B. für Krankenkassenprämien oder beim Arbeitgeber bezogene Mahlzeiten) sind aufzurechnen, ggf. dann aber im Bedarf wieder zu berücksichtigen. 
</t>
        </r>
        <r>
          <rPr>
            <b/>
            <sz val="9"/>
            <color indexed="81"/>
            <rFont val="Arial"/>
            <family val="2"/>
          </rPr>
          <t>Zulagen</t>
        </r>
        <r>
          <rPr>
            <sz val="9"/>
            <color indexed="81"/>
            <rFont val="Arial"/>
            <family val="2"/>
          </rPr>
          <t xml:space="preserve">, welche einem auf Dauer nicht zumutbaren Sondereinsatz entstammen, sind für die Berechnung von Unterhaltsbeiträgen nach der Scheidung nicht zu berücksichtigen. Dies im Gegensatz zu üblichen Zulagen (für Schicht-, Nachtarbeit u.ä.).
Bei </t>
        </r>
        <r>
          <rPr>
            <b/>
            <sz val="9"/>
            <color indexed="81"/>
            <rFont val="Arial"/>
            <family val="2"/>
          </rPr>
          <t>unregelmässigem</t>
        </r>
        <r>
          <rPr>
            <sz val="9"/>
            <color indexed="81"/>
            <rFont val="Arial"/>
            <family val="2"/>
          </rPr>
          <t xml:space="preserve"> Einkommen ist auf eine repräsentative Periode abzustellen (i.d.R. mindestens 6 Monate). Bei Arbeitslosigkeit erfolgt die Berechnung nach der Formel: ALV-Taggeld netto x 21.7 (= durchschnittliche Anzahl Arbeitstage pro Monat). 
Bei </t>
        </r>
        <r>
          <rPr>
            <b/>
            <sz val="9"/>
            <color indexed="81"/>
            <rFont val="Arial"/>
            <family val="2"/>
          </rPr>
          <t>selbständiger</t>
        </r>
        <r>
          <rPr>
            <sz val="9"/>
            <color indexed="81"/>
            <rFont val="Arial"/>
            <family val="2"/>
          </rPr>
          <t xml:space="preserve"> Erwerbstätigkeit ist auf die letzten 2-3  Jahresabschlüsse abzustellen (vgl. separater Kommentar). 
Anrechnung von</t>
        </r>
        <r>
          <rPr>
            <b/>
            <sz val="9"/>
            <color indexed="81"/>
            <rFont val="Arial"/>
            <family val="2"/>
          </rPr>
          <t xml:space="preserve"> hypothetischem</t>
        </r>
        <r>
          <rPr>
            <sz val="9"/>
            <color indexed="81"/>
            <rFont val="Arial"/>
            <family val="2"/>
          </rPr>
          <t xml:space="preserve"> Einkommen bei ungenügender Ausnützung der Erwerbsfähigkeit.</t>
        </r>
        <r>
          <rPr>
            <sz val="8"/>
            <color indexed="81"/>
            <rFont val="Tahoma"/>
            <family val="2"/>
          </rPr>
          <t xml:space="preserve">
</t>
        </r>
      </text>
    </comment>
    <comment ref="A27" authorId="0" shapeId="0" xr:uid="{00000000-0006-0000-0000-00000C000000}">
      <text>
        <r>
          <rPr>
            <sz val="9"/>
            <color indexed="81"/>
            <rFont val="Arial"/>
            <family val="2"/>
          </rPr>
          <t>Annäherungsrechnung: 1/12 des Nettoeinkommens.
Oft wird vom 13. Monatslohn kein Pensionskassenbeitrag abgezogen; in diesen Fällen ist der Betrag anzupassen.
Bei Gratifikationen, die regelmässig ausgerichtet werden, ist 1/12 des durchschnittlichen jährlichen Nettobetrages einzusetzen.</t>
        </r>
      </text>
    </comment>
    <comment ref="A28" authorId="0" shapeId="0" xr:uid="{00000000-0006-0000-0000-00000D000000}">
      <text>
        <r>
          <rPr>
            <b/>
            <sz val="9"/>
            <color indexed="81"/>
            <rFont val="Arial"/>
            <family val="2"/>
          </rPr>
          <t>Siehe auch Kommentar, Abschnitt "3.2. Verfügbare Mittel (Einkommen)".</t>
        </r>
        <r>
          <rPr>
            <sz val="9"/>
            <color indexed="81"/>
            <rFont val="Arial"/>
            <family val="2"/>
          </rPr>
          <t xml:space="preserve">
Beispiele: Naturaleinkommen, Gratifikationen, Provisionen, Trinkgelder. Die in dieser Zeile eingesetzten Zahlen werden in der Steuerberechnung zum Erwerbseinkommen gerechnet. 
Nebenerwerbseinkommen im steuerlichen Sinn ist in der nächsten Zeile einzutragen, da die Qualifikation die Berufskostenberechnung beeinflusst.</t>
        </r>
      </text>
    </comment>
    <comment ref="A29" authorId="0" shapeId="0" xr:uid="{00000000-0006-0000-0000-00000E000000}">
      <text>
        <r>
          <rPr>
            <sz val="9"/>
            <color indexed="81"/>
            <rFont val="Arial"/>
            <family val="2"/>
          </rPr>
          <t>Im steuerlichen Sinn; die Qualifikation beeinflusst die Berufskostenberechnung.</t>
        </r>
        <r>
          <rPr>
            <sz val="8"/>
            <color indexed="81"/>
            <rFont val="Tahoma"/>
            <family val="2"/>
          </rPr>
          <t xml:space="preserve">
</t>
        </r>
      </text>
    </comment>
    <comment ref="A35" authorId="0" shapeId="0" xr:uid="{00000000-0006-0000-0000-00000F000000}">
      <text>
        <r>
          <rPr>
            <sz val="9"/>
            <color indexed="81"/>
            <rFont val="Arial"/>
            <family val="2"/>
          </rPr>
          <t>Das Ergebnis der güterrechtlichen Auseinandersetzung ist zu berücksichtigen. 
Angaben in dieser Zeile werden in die Steuerangaben übernommen.</t>
        </r>
      </text>
    </comment>
    <comment ref="A43" authorId="1" shapeId="0" xr:uid="{00000000-0006-0000-0000-000010000000}">
      <text>
        <r>
          <rPr>
            <b/>
            <sz val="9"/>
            <color indexed="81"/>
            <rFont val="Arial"/>
            <family val="2"/>
          </rPr>
          <t xml:space="preserve">Siehe auch Kommentar, Abschnitt "3.4. Auslagen/Bedarf".
</t>
        </r>
        <r>
          <rPr>
            <sz val="9"/>
            <color indexed="81"/>
            <rFont val="Arial"/>
            <family val="2"/>
          </rPr>
          <t xml:space="preserve">Die Berechnung des Grundbedarfs bzw. der Existenzminima in familienrechtlichen Angelegenheiten entspricht im Ansatz der Berechnung der Existenzminima in Betreibungs- und Konkurssachen nach den "SchKG-Richtlinien", unter Hinzurechnung von Radio-/TV- und Telefon-Anschlussgebühren, Mobiliar- und Haftpflichtversicherungsprämien sowie laufenden Steuern. Betreffend laufende Steuern vgl. aber Kommentar, Ziff. 4.9, sowie BGE 126 III 353 und 140 III 337. Zum Ganzen: BGE 147 III 265.
Die Bezeichnungen der unten stehenden Zeilen sollten nicht geändert werden. Bei zusätzlichen Bestandteilen des Grundbedarfs untere Zeilen ausfüllen und eventuell neue Zeilen unterhalb der Zeile "Private Vorsorge/Lebensversicherungen" einfügen.
Grundbedarf pro Person einsetzen, keine Gesamtbeträge. </t>
        </r>
      </text>
    </comment>
    <comment ref="A45" authorId="0" shapeId="0" xr:uid="{00000000-0006-0000-0000-000011000000}">
      <text>
        <r>
          <rPr>
            <sz val="9"/>
            <color indexed="81"/>
            <rFont val="Arial"/>
            <family val="2"/>
          </rPr>
          <t xml:space="preserve">Grundbeträge gemäss SchKG-Richtlinien (u.a. Kanton Bern):
Alleinstehend: Fr. 1'200.00
Alleinerziehend: Fr. 1'350.00
Einzelperson in Hausgemeinschaft: Fr. 850.00 bis 1'100.00
Einzelperson in Hausgemeinschaft mit Erziehungspflichten: Fr. 950.00 bis Fr. 1'250.00
Deckt ab: Nahrung, Kleidung und Wäsche einschliesslich deren Instandhaltung, Körper- und
Gesundheitspflege, Unterhalt der Wohnungseinrichtung, Privatversicherungen,
Kulturelles, Haustiere sowie Auslagen für Beleuchtung, Kochstrom und/oder Gas etc.
</t>
        </r>
      </text>
    </comment>
    <comment ref="A46" authorId="0" shapeId="0" xr:uid="{00000000-0006-0000-0000-000012000000}">
      <text>
        <r>
          <rPr>
            <sz val="9"/>
            <color indexed="81"/>
            <rFont val="Arial"/>
            <family val="2"/>
          </rPr>
          <t>Beträge werden automatisch aus den oben stehenden Angaben ermittelt.
Volljährige Kinder im Haushalt eines Elternteils: Gemäss Spycher/Maier, Handbuch des Unterhaltsrechts, Kap. 2 Rz. 34 Fr. 850.00, gemäss BGer 5A_382/2021 E. 8.3 Fr. 600.00.</t>
        </r>
      </text>
    </comment>
    <comment ref="A48" authorId="0" shapeId="0" xr:uid="{00000000-0006-0000-0000-000013000000}">
      <text>
        <r>
          <rPr>
            <b/>
            <sz val="9"/>
            <color indexed="81"/>
            <rFont val="Arial"/>
            <family val="2"/>
          </rPr>
          <t xml:space="preserve">Siehe auch Kommentar, Abschnitt "3.4. Auslagen/Bedarf". </t>
        </r>
        <r>
          <rPr>
            <sz val="9"/>
            <color indexed="81"/>
            <rFont val="Arial"/>
            <family val="2"/>
          </rPr>
          <t>Massgebend ist grundsätzlich der bisher gelebte Standard, dies mit Ausnahme der kurzen, kinderlosen Ehe. Bei einer auf Dauer angelegten Regelung sind Beträge einzusetzen, die längerfristig den massgeblichen Standard sichern. Reichen die Einkünfte nicht aus, um zwei dem bisherigen Standard entsprechende Wohnungen zu finanzieren, so können beidseitig nur die Kosten für eine angemessene Wohnung eingesetzt werden. Lebt ein Ehegatte vorübergehend besonders günstig (z.B. bei Verwandten, in einem Zimmer o.ä.) und wäre eine teurere Wohnung gerechtfertigt, kann ein höherer Betrag berücksichtigt werden. Bei selbstgenutztem Wohneigentum sind zu berücksichtigen: Hypothekarzinsen, Wohnnebenkosten (inkl. Versicherungen), notwendige Unterhaltskosten, nicht aber Amortisationen.</t>
        </r>
      </text>
    </comment>
    <comment ref="A50" authorId="2" shapeId="0" xr:uid="{628AC430-FF23-41DA-B15C-490103DE7AF1}">
      <text>
        <r>
          <rPr>
            <sz val="9"/>
            <color indexed="81"/>
            <rFont val="Arial"/>
            <family val="2"/>
          </rPr>
          <t xml:space="preserve">10- 20 % pro Kind, degressiv, max. 50 %. Es ist darauf zu achten, dass dem Elternteil ein ausreichender Betrag verbleibt. </t>
        </r>
      </text>
    </comment>
    <comment ref="A52" authorId="0" shapeId="0" xr:uid="{00000000-0006-0000-0000-000014000000}">
      <text>
        <r>
          <rPr>
            <b/>
            <sz val="9"/>
            <color indexed="81"/>
            <rFont val="Arial"/>
            <family val="2"/>
          </rPr>
          <t xml:space="preserve">Siehe auch Kommentar, Abschnitt "3.4 Auslagen/Bedarf". 
</t>
        </r>
        <r>
          <rPr>
            <sz val="9"/>
            <color indexed="81"/>
            <rFont val="Arial"/>
            <family val="2"/>
          </rPr>
          <t>In der Regel sind nur die Prämien für die obligatorische Grundversicherung (KVG) zu berücksichtigen. Bereits bestehende Zusatzversicherungen können berücksichtigt werden, wenn die Mittel ausreichen und entweder beide Ehegatten gleichwertigen Versicherungsschutz geniessen oder sachliche Gründe für eine Ungleichbehandlung bestehen. Tatsächliche oder erhältliche Prämienverbilligungen sind zu berücksichtigen. Ist die betreffende Person nicht über den Arbeitgeber gegen Nichtberufsunfälle versichert, sind zusätzlich die entsprechenden Prämien anzurechnen. Die Berücksichtigung anderer Krankheitskosten (inkl. Franchise bei voraussichtlicher Inanspruchnahme) erfolgt auf der Basis der SchKG-Richtlinien.</t>
        </r>
      </text>
    </comment>
    <comment ref="A54" authorId="0" shapeId="0" xr:uid="{00000000-0006-0000-0000-000015000000}">
      <text>
        <r>
          <rPr>
            <sz val="9"/>
            <color indexed="81"/>
            <rFont val="Arial"/>
            <family val="2"/>
          </rPr>
          <t>Praxis im Kanton Bern: 
Pauschalbetrag für Anschlussgebühren Radio, TV und Telefon (ca. Fr. 65.00) sowie Mobiliar- und Haftpflichtversicherung (ca. Fr. 35.00). Bei Wohngemeinschaften mit erwachsenen Personen (inkl. Konkubinatsverhältnisse) wird der Betrag halbiert. Bei nachgewiesenen und gerechtfertigten höheren Prämien kann er erhöht werden.</t>
        </r>
      </text>
    </comment>
    <comment ref="A55" authorId="0" shapeId="0" xr:uid="{00000000-0006-0000-0000-000016000000}">
      <text>
        <r>
          <rPr>
            <b/>
            <sz val="9"/>
            <color indexed="81"/>
            <rFont val="Arial"/>
            <family val="2"/>
          </rPr>
          <t xml:space="preserve">Siehe auch Kommentar, Abschnitt "3.4. Auslagen/Bedarf".
</t>
        </r>
        <r>
          <rPr>
            <sz val="9"/>
            <color indexed="81"/>
            <rFont val="Arial"/>
            <family val="2"/>
          </rPr>
          <t xml:space="preserve">Grundsätzlich Kosten für öffentliche Verkehrsmittel, maximal Generalabonnement; Fahrkosten mit Privatfahrzeug, wenn aufgrund der konkreten Verhältnisse, namentlich des Arbeitsortes, dessen Erschliessung, der Lage der Arbeitszeiten sowie der Wahrnehmung von Betreuungspflichten die Benützung des öffentlichen Verkehrs nicht zumutbar ist. Bei guten finanziellen Verhältnissen u.U. Berücksichtigung der Autokosten auch dann, wenn das Fahrzeug nicht Kompetenzcharakter aufweist. </t>
        </r>
      </text>
    </comment>
    <comment ref="A56" authorId="0" shapeId="0" xr:uid="{00000000-0006-0000-0000-000017000000}">
      <text>
        <r>
          <rPr>
            <sz val="9"/>
            <color indexed="81"/>
            <rFont val="Arial"/>
            <family val="2"/>
          </rPr>
          <t>Für Mehrauslagen bei auswärtiger Verpflegung, sofern nicht vom Arbeitgeber bezahlt: Fr. 9.00 bis Fr. 11.00 für jede Hauptmahlzeit (gemäss SchKG-Richtlinien).</t>
        </r>
      </text>
    </comment>
    <comment ref="A57" authorId="0" shapeId="0" xr:uid="{00000000-0006-0000-0000-000018000000}">
      <text>
        <r>
          <rPr>
            <sz val="9"/>
            <color indexed="81"/>
            <rFont val="Arial"/>
            <family val="2"/>
          </rPr>
          <t>Gemäss SchKG-Richtlinien: Für erhöhten Nahrungsbedarf bei Schwerarbeit (Erd-, Bau- und Giessereiarbeiter und ähnliche Berufe), bei Schicht- und Nachtarbeit: Fr. 5.50 pro Arbeitstag. Für erhöhten Kleider- und Wäscheverbrauch maximal Fr. 50.00 pro Monat.</t>
        </r>
      </text>
    </comment>
    <comment ref="A58" authorId="0" shapeId="0" xr:uid="{00000000-0006-0000-0000-000019000000}">
      <text>
        <r>
          <rPr>
            <b/>
            <sz val="9"/>
            <color indexed="81"/>
            <rFont val="Arial"/>
            <family val="2"/>
          </rPr>
          <t xml:space="preserve">Siehe auch Kommentar, Abschnitt "3.4. Auslagen/Bedarf".
</t>
        </r>
        <r>
          <rPr>
            <sz val="9"/>
            <color indexed="81"/>
            <rFont val="Arial"/>
            <family val="2"/>
          </rPr>
          <t xml:space="preserve">Laufende Einkommens- (Bund, Kanton, Gemeinde) und Vermögenssteuern (Kanton, Gemeinde), ev. Kirchensteuer. Grundlage: Voraussichtliche Steuern bei getrennter Veranlagung. 
</t>
        </r>
        <r>
          <rPr>
            <b/>
            <sz val="9"/>
            <color indexed="81"/>
            <rFont val="Arial"/>
            <family val="2"/>
          </rPr>
          <t>Die Berechnung erfolgt automatisch, wobei zuvor das Blatt "Steuerangaben" auszufüllen ist</t>
        </r>
        <r>
          <rPr>
            <sz val="9"/>
            <color indexed="81"/>
            <rFont val="Arial"/>
            <family val="2"/>
          </rPr>
          <t xml:space="preserve">. Das Resultat der automatischen Berechnung kann überschrieben werden, und es kann später eine durch Klick auf die Schaltfläche "Berechnen/calcul" eine neue Berechnung durchgeführt werden.
</t>
        </r>
        <r>
          <rPr>
            <b/>
            <sz val="9"/>
            <color indexed="81"/>
            <rFont val="Arial"/>
            <family val="2"/>
          </rPr>
          <t>Kinder</t>
        </r>
        <r>
          <rPr>
            <sz val="9"/>
            <color indexed="81"/>
            <rFont val="Arial"/>
            <family val="2"/>
          </rPr>
          <t xml:space="preserve">: Es wird ein Anteil jedes minderjährigen Kindes an den Steuern des hauptbetreuenden Elternteils im Verhältnis der Einkünfte des Kindes zu den Einkünften von hauptbetreuendem Elternteil und allen Kindern zusammen ausgeschieden (gemäss BGE 147 III 457).
</t>
        </r>
        <r>
          <rPr>
            <b/>
            <sz val="9"/>
            <color indexed="81"/>
            <rFont val="Arial"/>
            <family val="2"/>
          </rPr>
          <t xml:space="preserve">
Siehe auch Kommentar, Abschnitt "3.6. Besondere Einkommenssituationen".</t>
        </r>
        <r>
          <rPr>
            <sz val="9"/>
            <color indexed="81"/>
            <rFont val="Arial"/>
            <family val="2"/>
          </rPr>
          <t xml:space="preserve">
Laufende Steuern, welche mit der Erzielung des unterhaltsrelevanten Einkommens zusammenhängen, sind in Mangelfällen nicht zu berücksichtigen; die Zelle wird rosa eingefärbt, die Korrektur ist manuell vorzunehmen.</t>
        </r>
      </text>
    </comment>
    <comment ref="A59" authorId="1" shapeId="0" xr:uid="{00000000-0006-0000-0000-00001A000000}">
      <text>
        <r>
          <rPr>
            <b/>
            <sz val="9"/>
            <color indexed="81"/>
            <rFont val="Arial"/>
            <family val="2"/>
          </rPr>
          <t xml:space="preserve">Siehe auch Kommentar, Abschnitt "4. Auslagen/Bedarf".
</t>
        </r>
        <r>
          <rPr>
            <sz val="9"/>
            <color indexed="81"/>
            <rFont val="Arial"/>
            <family val="2"/>
          </rPr>
          <t>Abzahlungsraten und Schuldzinse sind nur zu berücksichtigen, wenn die Schuld für den Erwerb von Kompetenzstücken verwendet wurde, oder wenn beide Ehegatten vom Gegenwert profitiert haben, oder wenn beide Ehegatten Schuldner sind. Voraussetzung ist im weiteren, dass die Zinse bzw. Raten tatsächlich bezahlt werden. Entsteht durch die Berücksichtigung von Kreditraten ein Defizit, so sind die Ratenzahlungen zu kürzen oder ganz zu streichen, da die öffentliche Sozialhilfe keine Beiträge zur Tilgung von Schulden leistet. Zu empfehlen ist die Regelung der Abzahlungsdauer und der Höhe der Abzahlungen in der Konvention, allenfalls mit anschliessender Anpassung der Unterhaltsbeiträge. Steuerschulden sind zu berücksichtigen, soweit sie den Zeitraum der Ehe betreffen.</t>
        </r>
        <r>
          <rPr>
            <sz val="9"/>
            <color indexed="81"/>
            <rFont val="Segoe UI"/>
            <family val="2"/>
          </rPr>
          <t xml:space="preserve">
</t>
        </r>
      </text>
    </comment>
    <comment ref="A61" authorId="0" shapeId="0" xr:uid="{00000000-0006-0000-0000-00001B000000}">
      <text>
        <r>
          <rPr>
            <sz val="9"/>
            <color indexed="81"/>
            <rFont val="Arial"/>
            <family val="2"/>
          </rPr>
          <t>Spezielle Schulung, Hobbys (sofern nicht aus Überschussanteil zu finanzieren), besondere Gesundheitskosten etc.</t>
        </r>
      </text>
    </comment>
    <comment ref="A62" authorId="2" shapeId="0" xr:uid="{00000000-0006-0000-0000-00001C000000}">
      <text>
        <r>
          <rPr>
            <sz val="9"/>
            <color indexed="81"/>
            <rFont val="Arial"/>
            <family val="2"/>
          </rPr>
          <t>Spezielle Schulung, Hobbys (sofern nicht aus Überschussanteil zu finanzieren), besondere Gesundheitskosten, ev. Ausübung Besuchsrecht etc. In Fällen alternierender Betreuung auch weitere Kosten.</t>
        </r>
      </text>
    </comment>
    <comment ref="A63" authorId="1" shapeId="0" xr:uid="{00000000-0006-0000-0000-00001D000000}">
      <text>
        <r>
          <rPr>
            <b/>
            <sz val="9"/>
            <color indexed="81"/>
            <rFont val="Arial"/>
            <family val="2"/>
          </rPr>
          <t>Siehe auch Kommentar, Abschnitt "3.4. Auslagen/Bedarf".</t>
        </r>
        <r>
          <rPr>
            <sz val="9"/>
            <color indexed="81"/>
            <rFont val="Arial"/>
            <family val="2"/>
          </rPr>
          <t xml:space="preserve">
Sind zu berücksichtigen, soweit sie tatsächlich anfallen oder anfallen werden. 
</t>
        </r>
      </text>
    </comment>
    <comment ref="A64" authorId="0" shapeId="0" xr:uid="{00000000-0006-0000-0000-00001E000000}">
      <text>
        <r>
          <rPr>
            <sz val="9"/>
            <color indexed="81"/>
            <rFont val="Arial"/>
            <family val="2"/>
          </rPr>
          <t xml:space="preserve">Vernünftige Weiterbildungkosten können im Rahmen der für die Berufsausübung unumgänglichen Ausgaben berücksichtigt werden. Diese Position berücksichtigt die Entwicklung des Arbeitsmarktes. 
</t>
        </r>
      </text>
    </comment>
    <comment ref="A65" authorId="0" shapeId="0" xr:uid="{00000000-0006-0000-0000-00001F000000}">
      <text>
        <r>
          <rPr>
            <sz val="9"/>
            <color indexed="81"/>
            <rFont val="Arial"/>
            <family val="2"/>
          </rPr>
          <t xml:space="preserve">Grössere Kosten für Arzt, Zahnarzt, Heilmittel etc. (Richtwert: höher als Fr. 50.00 pro Monat), welche von der Krankenkasse nicht vergütet werden. Gestützt auf die angegebenen Werte wird der Krankheitskostenabzug für die Steuern berechnet.
</t>
        </r>
      </text>
    </comment>
    <comment ref="A66" authorId="0" shapeId="0" xr:uid="{00000000-0006-0000-0000-000020000000}">
      <text>
        <r>
          <rPr>
            <sz val="9"/>
            <color indexed="81"/>
            <rFont val="Arial"/>
            <family val="2"/>
          </rPr>
          <t>Sofern eine angemessene Altersvorsorge nicht anderweitig sichergestellt ist und aufgebaut werden muss, oder sofern die angemessene Altersvorsorge des Gläubigers nicht durch eine Teilung der Austrittsleistungen erfolgt , sondern über Unterhaltsbeiträge herbeigeführt werden muss (vgl. Urs Gloor, FamPra 4/2008 731 ff.; BGer 5A_210/2008).
Bei einer Eingabe in dieser Zeile müssen die Steuerangaben überprüft und eventuell von Hand ergänzt werden. Multiplikation mit 12 nicht vergessen! 
Beim hauptbetreuenden Elternteil wird die Angabe aus dem Blatt "Vorsorge" übernommen, wenn oben die Frage nach Vorsorgeunterhalt mit "j(a)" oder "o(ui)" beantwortet wurde.</t>
        </r>
      </text>
    </comment>
    <comment ref="A67" authorId="0" shapeId="0" xr:uid="{00000000-0006-0000-0000-000021000000}">
      <text>
        <r>
          <rPr>
            <sz val="9"/>
            <color indexed="81"/>
            <rFont val="Arial"/>
            <family val="2"/>
          </rPr>
          <t xml:space="preserve">Stehen in dieser Zeile Angaben, so sind die Steuerangaben zu überprüfen. Die Zahlen müssen, wenn es sich um abzugfähige Unterhaltsbeiträge handelt, manuell ergänzt werden. Multiplikation mit 12 nicht vergessen! </t>
        </r>
      </text>
    </comment>
    <comment ref="A84" authorId="1" shapeId="0" xr:uid="{00000000-0006-0000-0000-000022000000}">
      <text>
        <r>
          <rPr>
            <b/>
            <sz val="9"/>
            <color indexed="81"/>
            <rFont val="Arial"/>
            <family val="2"/>
          </rPr>
          <t>Siehe auch Kommentar, Abschnitt "3.5. Weitere Berechnungsschritte".</t>
        </r>
        <r>
          <rPr>
            <sz val="9"/>
            <color indexed="81"/>
            <rFont val="Arial"/>
            <family val="2"/>
          </rPr>
          <t xml:space="preserve">
Wo eine Vorabzuteilung von Einkommen gerechtfertigt ist (überobligatorische Tätigkeit eines Elternteils; Belassen des selbst erwirtschafteten Überschusses; bei Kindern: Lehrlingslohn z.B.), kann der entsprechende Betrag hier angegeben werden. Gegebenenfalls reduziert sich der Gesamtbetrag, und es verbleibt der konkret aufzuteilende Betrag. 
</t>
        </r>
        <r>
          <rPr>
            <b/>
            <sz val="9"/>
            <color indexed="81"/>
            <rFont val="Arial"/>
            <family val="2"/>
          </rPr>
          <t>Achtung! Erzielt der hauptbetreuende Elternteil selbst einen Überschuss, ist hier oder beim Verteiler zu korrigieren, damit er nicht oder nur beschränkt zum Barunterhalt beitragen muss.</t>
        </r>
      </text>
    </comment>
    <comment ref="A88" authorId="1" shapeId="0" xr:uid="{00000000-0006-0000-0000-000023000000}">
      <text>
        <r>
          <rPr>
            <b/>
            <sz val="9"/>
            <color indexed="81"/>
            <rFont val="Arial"/>
            <family val="2"/>
          </rPr>
          <t>Siehe auch Kommentar, Abschnitt "3.5. Weitere Berechnungsschritte".</t>
        </r>
        <r>
          <rPr>
            <sz val="9"/>
            <color indexed="81"/>
            <rFont val="Arial"/>
            <family val="2"/>
          </rPr>
          <t xml:space="preserve">
Es wird automatisch eine Aufteilung nach Köpfen vorgegeben, wobei Kinder wie ein „halber Erwachsener“ zählen. </t>
        </r>
        <r>
          <rPr>
            <b/>
            <sz val="9"/>
            <color indexed="81"/>
            <rFont val="Arial"/>
            <family val="2"/>
          </rPr>
          <t>Achtung! Erzielt der hauptbetreuende Elternteil selbst einen Überschuss, ist hier oder bei der Vorabzuteilung zu korrigieren, damit er nicht oder nur beschränkt zum Barunterhalt beitragen muss.</t>
        </r>
        <r>
          <rPr>
            <sz val="9"/>
            <color indexed="81"/>
            <rFont val="Segoe UI"/>
            <family val="2"/>
          </rPr>
          <t xml:space="preserve">
</t>
        </r>
      </text>
    </comment>
    <comment ref="A104" authorId="1" shapeId="0" xr:uid="{00000000-0006-0000-0000-000024000000}">
      <text>
        <r>
          <rPr>
            <b/>
            <sz val="9"/>
            <color indexed="81"/>
            <rFont val="Arial"/>
            <family val="2"/>
          </rPr>
          <t xml:space="preserve">Siehe auch Kommentar, Abschnitt "3.5. Weitere Berechnungsschritte".
</t>
        </r>
        <r>
          <rPr>
            <sz val="9"/>
            <color indexed="81"/>
            <rFont val="Arial"/>
            <family val="2"/>
          </rPr>
          <t xml:space="preserve">Dieser Abschnitt beinhaltet die Gegenüberstellung des Bedarfs (inklusive Überschussanteil und wo relevant auch die Angabe vorabzugeteilter Mittel) mit dem eigenen Einkommen. Daraus ergibt sich, was den Beteiligten zusteht („+„) bzw. vom Verpflichteten zu bezahlen ist („-“). 
</t>
        </r>
      </text>
    </comment>
    <comment ref="A116" authorId="1" shapeId="0" xr:uid="{00000000-0006-0000-0000-000025000000}">
      <text>
        <r>
          <rPr>
            <sz val="9"/>
            <color indexed="81"/>
            <rFont val="Arial"/>
            <family val="2"/>
          </rPr>
          <t>optional; dient einer allfälligen Verteilung des Betreuungsunterhalts, welche "nicht   nach Köpfen" erfolgt</t>
        </r>
      </text>
    </comment>
    <comment ref="A119" authorId="2" shapeId="0" xr:uid="{6F16EB53-5222-4AA7-BF35-B1AF9C032D66}">
      <text>
        <r>
          <rPr>
            <sz val="9"/>
            <color indexed="81"/>
            <rFont val="Arial"/>
            <family val="2"/>
          </rPr>
          <t>Sofern Anspruch auf Betreuungsunterhalt besteht, wird ein Anteil der Steuern des hauptbetreuenden Elternteil in den persönlichen Unterhalt umgelagert. Der Anteil entspricht dem Anteil des persönlichen Unterhaltsbeitrags an den gesamten Einkünften des Elternteils (Erwerbseinkommen, Betreuungsunterhalt, persönlicher Unterhalt). Die Steuern auf dem Erwerbseinkommen werden dem Betreuungsunterhalt angerechnet.</t>
        </r>
      </text>
    </comment>
    <comment ref="A124" authorId="1" shapeId="0" xr:uid="{00000000-0006-0000-0000-000026000000}">
      <text>
        <r>
          <rPr>
            <b/>
            <sz val="9"/>
            <color indexed="81"/>
            <rFont val="Arial"/>
            <family val="2"/>
          </rPr>
          <t>Siehe auch Kommentar, Abschnitt "3.5. Weitere Berechnungsschritte".</t>
        </r>
        <r>
          <rPr>
            <sz val="9"/>
            <color indexed="81"/>
            <rFont val="Arial"/>
            <family val="2"/>
          </rPr>
          <t xml:space="preserve">
Das auf die Lebenskosten des Betreuenden entfallende Manko (konkret: Differenz zwischen Einkommen des Betreuenden und seinem Grundbedarf; exklusiv Vorsorge und evtl. Unterhaltsbeiträge an Dritte) wird auf die Kinder verteilt (Betreuungsunterhalt). 
Für die Aufteilung ist zu entscheiden, ob die als „default“ angegebene Verteilung nach Köpfen anzuwenden ist oder ob allenfalls (z.B. für ältere Kinder) ein kleinerer Anteil am Betreuungsunterhalt gerechtfertigt und folglich eine manuelle Anpassung erforderlich ist (siehe auch oben, Betreuungszeit in Prozent aufgrund Alter).
Mit der Eingabe in dieser Zeile kann der persönliche Unterhalt ganz oder teilweise in den Betreuungsunterhalt verschoben werden und umgekehrt. Mit einer Verschiebung vom persönlichen Unterhalt in den Betreuungsunterhalt kann der Wegfall des entsprechenden Betrags infolge Konkubinatsklausel oder Wiederverheiratung verhindert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Bähler und Annette Spycher</author>
    <author>Nadja Madjid</author>
    <author>Daniel Bähler</author>
  </authors>
  <commentList>
    <comment ref="A4" authorId="0" shapeId="0" xr:uid="{00000000-0006-0000-0100-000001000000}">
      <text>
        <r>
          <rPr>
            <b/>
            <sz val="9"/>
            <color indexed="81"/>
            <rFont val="Arial"/>
            <family val="2"/>
          </rPr>
          <t>Bitte beachten:</t>
        </r>
        <r>
          <rPr>
            <sz val="9"/>
            <color indexed="81"/>
            <rFont val="Arial"/>
            <family val="2"/>
          </rPr>
          <t xml:space="preserve">
</t>
        </r>
        <r>
          <rPr>
            <i/>
            <sz val="9"/>
            <color indexed="81"/>
            <rFont val="Arial"/>
            <family val="2"/>
          </rPr>
          <t>Gelb unterlegte</t>
        </r>
        <r>
          <rPr>
            <sz val="9"/>
            <color indexed="81"/>
            <rFont val="Arial"/>
            <family val="2"/>
          </rPr>
          <t xml:space="preserve"> Zellen enthalten Formeln, die nur von erfahrenen Excel-AnwenderInnen abgeändert werden sollten.
In </t>
        </r>
        <r>
          <rPr>
            <i/>
            <sz val="9"/>
            <color indexed="81"/>
            <rFont val="Arial"/>
            <family val="2"/>
          </rPr>
          <t>grün unterlegte</t>
        </r>
        <r>
          <rPr>
            <sz val="9"/>
            <color indexed="81"/>
            <rFont val="Arial"/>
            <family val="2"/>
          </rPr>
          <t xml:space="preserve"> Zellen können Eingaben gemacht werden. Dabei ist allerdings zu beachten, dass die Vorgaben (Formeln) überschrieben und nicht wieder hergestellt werden.
In </t>
        </r>
        <r>
          <rPr>
            <i/>
            <sz val="9"/>
            <color indexed="81"/>
            <rFont val="Arial"/>
            <family val="2"/>
          </rPr>
          <t>weisse</t>
        </r>
        <r>
          <rPr>
            <sz val="9"/>
            <color indexed="81"/>
            <rFont val="Arial"/>
            <family val="2"/>
          </rPr>
          <t xml:space="preserve"> Zellen können auf den Blättern "Unterhalt" und "Steuerangaben" Eingaben gemacht werden.
Zahlen, die in </t>
        </r>
        <r>
          <rPr>
            <i/>
            <sz val="9"/>
            <color indexed="81"/>
            <rFont val="Arial"/>
            <family val="2"/>
          </rPr>
          <t xml:space="preserve">roter </t>
        </r>
        <r>
          <rPr>
            <sz val="9"/>
            <color indexed="81"/>
            <rFont val="Arial"/>
            <family val="2"/>
          </rPr>
          <t>Farbe erscheinen, werden direkt oder für die Berechnung von Abzügen in die Steuerberechnung übernommen.</t>
        </r>
      </text>
    </comment>
    <comment ref="H4" authorId="0" shapeId="0" xr:uid="{00000000-0006-0000-0100-000002000000}">
      <text>
        <r>
          <rPr>
            <sz val="9"/>
            <color indexed="81"/>
            <rFont val="Arial"/>
            <family val="2"/>
          </rPr>
          <t>Das Alter der Kinder wird automatisch der hier eingegebenen Jahrzahl angepasst.</t>
        </r>
      </text>
    </comment>
    <comment ref="H8" authorId="0" shapeId="0" xr:uid="{00000000-0006-0000-0100-000003000000}">
      <text>
        <r>
          <rPr>
            <sz val="9"/>
            <color indexed="81"/>
            <rFont val="Arial"/>
            <family val="2"/>
          </rPr>
          <t>Wenn die Berechnung nicht für volle Jahre gilt, so müssen bei den Steuerangaben die Beträge kontrolliert werden. Bei den Einkünften und den sachlichen Abzügen sind die in der  Veranlagungsperiode (laufendes Kalenderjahr) effektiv geflossenen Beträge einzusetzen (keine Umrechnung auf 12 Monate). Die Sozialabzüge richten sich nach den Verhältnissen Ende Jahr.</t>
        </r>
      </text>
    </comment>
    <comment ref="A12" authorId="1" shapeId="0" xr:uid="{00000000-0006-0000-0100-000004000000}">
      <text>
        <r>
          <rPr>
            <b/>
            <sz val="9"/>
            <color indexed="81"/>
            <rFont val="Arial"/>
            <family val="2"/>
          </rPr>
          <t xml:space="preserve">Siehe auch Kommentar, Abschnitt "3.1. Allgemeine Angaben (Hauptblatt)". </t>
        </r>
        <r>
          <rPr>
            <sz val="9"/>
            <color indexed="81"/>
            <rFont val="Arial"/>
            <family val="2"/>
          </rPr>
          <t xml:space="preserve">
Die Angabe des Jahrgangs ist insbesondere für die Kinder zwingend. Erwachsene: wenn für sie Vorsorgeunterhalt zu berechnen ist.</t>
        </r>
        <r>
          <rPr>
            <sz val="9"/>
            <color indexed="81"/>
            <rFont val="Segoe UI"/>
            <family val="2"/>
          </rPr>
          <t xml:space="preserve">
</t>
        </r>
      </text>
    </comment>
    <comment ref="A14" authorId="1" shapeId="0" xr:uid="{00000000-0006-0000-0100-000005000000}">
      <text>
        <r>
          <rPr>
            <b/>
            <sz val="9"/>
            <color indexed="81"/>
            <rFont val="Arial"/>
            <family val="2"/>
          </rPr>
          <t xml:space="preserve">Siehe auch Kommentar, Abschnitt "1. Allgemeine Angaben (Hauptblatt)". </t>
        </r>
        <r>
          <rPr>
            <sz val="9"/>
            <color indexed="81"/>
            <rFont val="Arial"/>
            <family val="2"/>
          </rPr>
          <t xml:space="preserve">
Die Angabe des Wohnsitzkantons ist vorab für die Steuerberechnung (sowie für Familienzulagen und Kommunikationspauschale) relevant. Diese ist aktuell verfügbar für die Kantone BE, ZH, AG und (einigermassen aktuell) für SO, BS, BL sowie (nicht aufdatiert) LU, FR und SG. 
Die Steuerberechnung funktioniert nur für Personen mit Wohnsitz in den im Blatt "Grundlagen" aufgeführten Kantonen. Wohnt ein Ehegatte ausserhalb eines dieser Kantone, können die Steuern für den Ehegatten im Kanton mit automatischer Steuerberechnung berechnet werden, wenn für anderen Ehegatten ein Steuerbetrag angenommen wird.</t>
        </r>
      </text>
    </comment>
    <comment ref="A16" authorId="1" shapeId="0" xr:uid="{00000000-0006-0000-0100-000006000000}">
      <text>
        <r>
          <rPr>
            <b/>
            <sz val="9"/>
            <color indexed="81"/>
            <rFont val="Arial"/>
            <family val="2"/>
          </rPr>
          <t xml:space="preserve">Siehe auch Kommentar, Abschnitt "1. Allgemeine Angaben (Hauptblatt)". </t>
        </r>
        <r>
          <rPr>
            <sz val="9"/>
            <color indexed="81"/>
            <rFont val="Arial"/>
            <family val="2"/>
          </rPr>
          <t xml:space="preserve">
Die Angaben zum Einkommen bei voller Erwerbstätigkeit und zum Beschäftigungsgrad sind optional und dienen insbes.der Berechnung für spätere Perioden.</t>
        </r>
        <r>
          <rPr>
            <sz val="9"/>
            <color indexed="81"/>
            <rFont val="Segoe UI"/>
            <family val="2"/>
          </rPr>
          <t xml:space="preserve">
</t>
        </r>
      </text>
    </comment>
    <comment ref="A18" authorId="1" shapeId="0" xr:uid="{00000000-0006-0000-0100-000007000000}">
      <text>
        <r>
          <rPr>
            <b/>
            <sz val="9"/>
            <color indexed="81"/>
            <rFont val="Arial"/>
            <family val="2"/>
          </rPr>
          <t xml:space="preserve">Siehe auch Kommentar, Abschnitt "1. verfügbare Mittel (Einkommen)". </t>
        </r>
        <r>
          <rPr>
            <sz val="9"/>
            <color indexed="81"/>
            <rFont val="Arial"/>
            <family val="2"/>
          </rPr>
          <t xml:space="preserve">
Familienzulagen nach FamZG sind neu als Einkommen des Kindes einzusetzen. </t>
        </r>
        <r>
          <rPr>
            <sz val="9"/>
            <color indexed="81"/>
            <rFont val="Segoe UI"/>
            <family val="2"/>
          </rPr>
          <t xml:space="preserve">
</t>
        </r>
      </text>
    </comment>
    <comment ref="A19" authorId="1" shapeId="0" xr:uid="{00000000-0006-0000-0100-000008000000}">
      <text>
        <r>
          <rPr>
            <b/>
            <sz val="9"/>
            <color indexed="81"/>
            <rFont val="Arial"/>
            <family val="2"/>
          </rPr>
          <t>Siehe auch Kommentar, Abschnitt "1. Allgemeine Angaben (Hauptblatt)". 
B</t>
        </r>
        <r>
          <rPr>
            <sz val="9"/>
            <color indexed="81"/>
            <rFont val="Arial"/>
            <family val="2"/>
          </rPr>
          <t>ei Berechnung in Scheidungssituationen sowie ab 1.1.2017 auch während der Dauer eines Scheidungsprozesses</t>
        </r>
        <r>
          <rPr>
            <sz val="9"/>
            <color indexed="81"/>
            <rFont val="Segoe UI"/>
            <family val="2"/>
          </rPr>
          <t xml:space="preserve">
</t>
        </r>
      </text>
    </comment>
    <comment ref="A20" authorId="1" shapeId="0" xr:uid="{00000000-0006-0000-0100-000009000000}">
      <text>
        <r>
          <rPr>
            <b/>
            <sz val="9"/>
            <color indexed="81"/>
            <rFont val="Arial"/>
            <family val="2"/>
          </rPr>
          <t xml:space="preserve">Siehe auch Kommentar, Abschnitt "1. verfügbare Mittel (Einkommen)". </t>
        </r>
        <r>
          <rPr>
            <sz val="9"/>
            <color indexed="81"/>
            <rFont val="Arial"/>
            <family val="2"/>
          </rPr>
          <t xml:space="preserve">
Die Sparquote kann eingesetzt werden, sofern sie auch nach der Trennung weiterbesteht.  Das System teilt die Sparquote (gemäss Grundeinstellung vorgegeben) entsprechend dem Verhältnis der Nettoeinkommen der Parteien (ersichtlich in Prozentangaben, direkt unter dem Total der Einkommen) auf die Parteien auf; manuell können Anpassungen vorgenommen werden.</t>
        </r>
      </text>
    </comment>
    <comment ref="A23" authorId="1" shapeId="0" xr:uid="{00000000-0006-0000-0100-00000A000000}">
      <text>
        <r>
          <rPr>
            <sz val="9"/>
            <color indexed="81"/>
            <rFont val="Arial"/>
            <family val="2"/>
          </rPr>
          <t>pro Person (Familienzulagen u.ä. bei den Kindern einzusetzen)</t>
        </r>
      </text>
    </comment>
    <comment ref="A25" authorId="0" shapeId="0" xr:uid="{00000000-0006-0000-0100-00000B000000}">
      <text>
        <r>
          <rPr>
            <b/>
            <sz val="9"/>
            <color indexed="81"/>
            <rFont val="Arial"/>
            <family val="2"/>
          </rPr>
          <t>Siehe auch Kommentar, Abschnitte "2. Verfügbare Mittel (Einkommen)" und "3. Insbesondere Selbständigerwerbende"</t>
        </r>
        <r>
          <rPr>
            <sz val="9"/>
            <color indexed="81"/>
            <rFont val="Arial"/>
            <family val="2"/>
          </rPr>
          <t xml:space="preserve">. 
Monatliches Nettoeinkommen, d.h. </t>
        </r>
        <r>
          <rPr>
            <i/>
            <sz val="9"/>
            <color indexed="81"/>
            <rFont val="Arial"/>
            <family val="2"/>
          </rPr>
          <t>Bruttoeinkommen</t>
        </r>
        <r>
          <rPr>
            <sz val="9"/>
            <color indexed="81"/>
            <rFont val="Arial"/>
            <family val="2"/>
          </rPr>
          <t xml:space="preserve"> nach Abzug AHV/IV/EO/ALV, Beiträge Arbeitnehmer an Einrichtungen der beruflichen Vorsorge, Beiträge Arbeitnehmer für obligatorische Unfallversicherung, ggf. für Krankentaggeldversicherung). 
Andere Abzüge (z.B. für Krankenkassenprämien oder beim Arbeitgeber bezogene Mahlzeiten) sind aufzurechnen, ggf. dann aber im Bedarf wieder zu berücksichtigen. 
</t>
        </r>
        <r>
          <rPr>
            <b/>
            <sz val="9"/>
            <color indexed="81"/>
            <rFont val="Arial"/>
            <family val="2"/>
          </rPr>
          <t>Zulagen</t>
        </r>
        <r>
          <rPr>
            <sz val="9"/>
            <color indexed="81"/>
            <rFont val="Arial"/>
            <family val="2"/>
          </rPr>
          <t xml:space="preserve">, welche einem auf Dauer nicht zumutbaren Sondereinsatz entstammen, sind für die Berechnung von Unterhaltsbeiträgen nach der Scheidung nicht zu berücksichtigen. Dies im Gegensatz zu üblichen Zulagen (für Schicht-, Nachtarbeit u.ä.).
Bei </t>
        </r>
        <r>
          <rPr>
            <b/>
            <sz val="9"/>
            <color indexed="81"/>
            <rFont val="Arial"/>
            <family val="2"/>
          </rPr>
          <t>unregelmässigem</t>
        </r>
        <r>
          <rPr>
            <sz val="9"/>
            <color indexed="81"/>
            <rFont val="Arial"/>
            <family val="2"/>
          </rPr>
          <t xml:space="preserve"> Einkommen ist auf eine repräsentative Periode abzustellen (i.d.R. mindestens 6 Monate). Bei Arbeitslosigkeit erfolgt die Berechnung nach der Formel: ALV-Taggeld netto x 21.7 (= durchschnittliche Anzahl Arbeitstage pro Monat). 
Bei </t>
        </r>
        <r>
          <rPr>
            <b/>
            <sz val="9"/>
            <color indexed="81"/>
            <rFont val="Arial"/>
            <family val="2"/>
          </rPr>
          <t>selbständiger</t>
        </r>
        <r>
          <rPr>
            <sz val="9"/>
            <color indexed="81"/>
            <rFont val="Arial"/>
            <family val="2"/>
          </rPr>
          <t xml:space="preserve"> Erwerbstätigkeit ist auf die letzten 2-3  Jahresabschlüsse abzustellen (vgl. separater Kommentar). 
Anrechnung von</t>
        </r>
        <r>
          <rPr>
            <b/>
            <sz val="9"/>
            <color indexed="81"/>
            <rFont val="Arial"/>
            <family val="2"/>
          </rPr>
          <t xml:space="preserve"> hypothetischem</t>
        </r>
        <r>
          <rPr>
            <sz val="9"/>
            <color indexed="81"/>
            <rFont val="Arial"/>
            <family val="2"/>
          </rPr>
          <t xml:space="preserve"> Einkommen bei ungenügender Ausnützung der Erwerbsfähigkeit.</t>
        </r>
        <r>
          <rPr>
            <sz val="8"/>
            <color indexed="81"/>
            <rFont val="Tahoma"/>
            <family val="2"/>
          </rPr>
          <t xml:space="preserve">
</t>
        </r>
      </text>
    </comment>
    <comment ref="A26" authorId="0" shapeId="0" xr:uid="{00000000-0006-0000-0100-00000C000000}">
      <text>
        <r>
          <rPr>
            <sz val="9"/>
            <color indexed="81"/>
            <rFont val="Arial"/>
            <family val="2"/>
          </rPr>
          <t>Annäherungsrechnung: 1/12 des Nettoeinkommens.
Oft wird vom 13. Monatslohn kein Pensionskassenbeitrag abgezogen; in diesen Fällen ist der Betrag anzupassen.
Bei Gratifikationen, die regelmässig ausgerichtet werden, ist 1/12 des durchschnittlichen jährlichen Nettobetrages einzusetzen.</t>
        </r>
      </text>
    </comment>
    <comment ref="A27" authorId="0" shapeId="0" xr:uid="{00000000-0006-0000-0100-00000D000000}">
      <text>
        <r>
          <rPr>
            <b/>
            <sz val="9"/>
            <color indexed="81"/>
            <rFont val="Arial"/>
            <family val="2"/>
          </rPr>
          <t>Siehe auch Kommentar, Abschnitt "2. Verfügbare Mittel (Einkommen)".</t>
        </r>
        <r>
          <rPr>
            <sz val="9"/>
            <color indexed="81"/>
            <rFont val="Arial"/>
            <family val="2"/>
          </rPr>
          <t xml:space="preserve">
Beispiele: Naturaleinkommen, Gratifikationen, Provisionen, Trinkgelder. Die in dieser Zeile eingesetzten Zahlen werden in der Steuerberechnung zum Erwerbseinkommen gerechnet. 
Nebenerwerbseinkommen im steuerlichen Sinn ist in der nächsten Zeile einzutragen, da die Qualifikation die Berufskostenberechnung beeinflusst.</t>
        </r>
      </text>
    </comment>
    <comment ref="A28" authorId="0" shapeId="0" xr:uid="{00000000-0006-0000-0100-00000E000000}">
      <text>
        <r>
          <rPr>
            <sz val="9"/>
            <color indexed="81"/>
            <rFont val="Arial"/>
            <family val="2"/>
          </rPr>
          <t>Im steuerlichen Sinn; die Qualifikation beeinflusst die Berufskostenberechnung.</t>
        </r>
        <r>
          <rPr>
            <sz val="8"/>
            <color indexed="81"/>
            <rFont val="Tahoma"/>
            <family val="2"/>
          </rPr>
          <t xml:space="preserve">
</t>
        </r>
      </text>
    </comment>
    <comment ref="A34" authorId="0" shapeId="0" xr:uid="{00000000-0006-0000-0100-00000F000000}">
      <text>
        <r>
          <rPr>
            <sz val="9"/>
            <color indexed="81"/>
            <rFont val="Arial"/>
            <family val="2"/>
          </rPr>
          <t>Das Ergebnis der güterrechtlichen Auseinandersetzung ist zu berücksichtigen. 
Angaben in dieser Zeile werden in die Steuerberechnung übernommen.</t>
        </r>
      </text>
    </comment>
    <comment ref="A41" authorId="1" shapeId="0" xr:uid="{00000000-0006-0000-0100-000010000000}">
      <text>
        <r>
          <rPr>
            <b/>
            <sz val="9"/>
            <color indexed="81"/>
            <rFont val="Arial"/>
            <family val="2"/>
          </rPr>
          <t xml:space="preserve">Siehe auch Kommentar, Abschnitt "4. Auslagen/Bedarf".
</t>
        </r>
        <r>
          <rPr>
            <sz val="9"/>
            <color indexed="81"/>
            <rFont val="Arial"/>
            <family val="2"/>
          </rPr>
          <t xml:space="preserve">Die Berechnung des Grundbedarfs bzw. der Existenzminima in familienrechtlichen Angelegenheiten entspricht im Ansatz der Berechnung der Existenzminima in Betreibungs- und Konkurssachen nach den "SchKG-Richtlinien", unter Hinzurechnung von Radio-/TV- und Telefon-Anschlussgebühren, Mobiliar- und Haftpflichtversicherungsprämien sowie laufenden Steuern. Betreffend laufende Steuern vgl. aber Kommentar, Ziff. 4.9, sowie BGE 126 III 353 und 140 III 337.
Die Bezeichnungen der unten stehenden Zeilen sollten nicht geändert werden. Bei zusätzlichen Bestandteilen des Grundbedarfs untere Zeilen ausfüllen und eventuell neue Zeilen unterhalb der Zeile "Private Vorsorge/Lebensversicherungen" einfügen.
Grundbedarf pro Person einsetzen, keine Gesamtbeträge. </t>
        </r>
      </text>
    </comment>
    <comment ref="A43" authorId="0" shapeId="0" xr:uid="{00000000-0006-0000-0100-000011000000}">
      <text>
        <r>
          <rPr>
            <sz val="9"/>
            <color indexed="81"/>
            <rFont val="Arial"/>
            <family val="2"/>
          </rPr>
          <t xml:space="preserve">Grundbeträge gemäss SchKG-Richtlinien (u.a. Kanton Bern):
Alleinstehend: Fr. 1'200.00
Alleinerziehend: Fr. 1'350.00
Einzelperson in Hausgemeinschaft: Fr. 850.00 bis 1'100.00
Einzelperson in Hausgemeinschaft mit Erziehungspflichten: Fr. 950.00 bis Fr. 1'250.00
Deckt ab: Nahrung, Kleidung und Wäsche einschliesslich deren Instandhaltung, Körper- und
Gesundheitspflege, Unterhalt der Wohnungseinrichtung, Privatversicherungen,
Kulturelles, Haustiere sowie Auslagen für Beleuchtung, Kochstrom und/oder Gas etc.
</t>
        </r>
      </text>
    </comment>
    <comment ref="A44" authorId="0" shapeId="0" xr:uid="{00000000-0006-0000-0100-000012000000}">
      <text>
        <r>
          <rPr>
            <sz val="9"/>
            <color indexed="81"/>
            <rFont val="Arial"/>
            <family val="2"/>
          </rPr>
          <t>Beträge werden automatisch aus den oben stehenden Angaben ermittelt.</t>
        </r>
      </text>
    </comment>
    <comment ref="A46" authorId="0" shapeId="0" xr:uid="{00000000-0006-0000-0100-000013000000}">
      <text>
        <r>
          <rPr>
            <b/>
            <sz val="9"/>
            <color indexed="81"/>
            <rFont val="Arial"/>
            <family val="2"/>
          </rPr>
          <t xml:space="preserve">Siehe auch Kommentar, Abschnitt "4. Auslagen/Bedarf". </t>
        </r>
        <r>
          <rPr>
            <sz val="9"/>
            <color indexed="81"/>
            <rFont val="Arial"/>
            <family val="2"/>
          </rPr>
          <t>Massgebend ist grundsätzlich der bisher gelebte Standard, dies mit Ausnahme der kurzen, kinderlosen Ehe. Bei einer auf Dauer angelegten Regelung sind Beträge einzusetzen, die längerfristig den massgeblichen Standard sichern. Reichen die Einkünfte nicht aus, um zwei dem bisherigen Standard entsprechende Wohnungen zu finanzieren, so können beidseitig nur die Kosten für eine angemessene Wohnung eingesetzt werden. Lebt ein Ehegatte vorübergehend besonders günstig (z.B. bei Verwandten, in einem Zimmer o.ä.) und wäre eine teurere Wohnung gerechtfertigt, kann ein höherer Betrag berücksichtigt werden. Bei selbstgenutztem Wohneigentum sind zu berücksichtigen: Hypothekarzinsen, Wohnnebenkosten (inkl. Versicherungen), notwendige Unterhaltskosten, nicht aber Amortisationen.</t>
        </r>
      </text>
    </comment>
    <comment ref="A50" authorId="0" shapeId="0" xr:uid="{00000000-0006-0000-0100-000014000000}">
      <text>
        <r>
          <rPr>
            <b/>
            <sz val="9"/>
            <color indexed="81"/>
            <rFont val="Arial"/>
            <family val="2"/>
          </rPr>
          <t xml:space="preserve">Siehe auch Kommentar, Abschnitt "Auslagen". 
</t>
        </r>
        <r>
          <rPr>
            <sz val="9"/>
            <color indexed="81"/>
            <rFont val="Arial"/>
            <family val="2"/>
          </rPr>
          <t>In der Regel sind nur die Prämien für die obligatorische Grundversicherung (KVG) zu berücksichtigen. Bereits bestehende Zusatzversicherungen können berücksichtigt werden, wenn die Mittel ausreichen und entweder beide Ehegatten gleichwertigen Versicherungsschutz geniessen oder sachliche Gründe für eine Ungleichbehandlung bestehen. Tatsächliche oder erhältliche Prämienverbilligungen sind zu berücksichtigen. Ist die betreffende Person nicht über den Arbeitgeber gegen Nichtberufsunfälle versichert, sind zusätzlich die entsprechenden Prämien anzurechnen. Die Berücksichtigung anderer Krankheitskosten (inkl. Franchise bei voraussichtlicher Inanspruchnahme) erfolgt auf der Basis der SchKG-Richtlinien.</t>
        </r>
      </text>
    </comment>
    <comment ref="A52" authorId="0" shapeId="0" xr:uid="{00000000-0006-0000-0100-000015000000}">
      <text>
        <r>
          <rPr>
            <sz val="9"/>
            <color indexed="81"/>
            <rFont val="Arial"/>
            <family val="2"/>
          </rPr>
          <t>Praxis im Kanton Bern: 
Pauschalbetrag für Anschlussgebühren Radio, TV und Telefon (ca. Fr. 65.00) sowie Mobiliar- und Haftpflichtversicherung (ca. Fr. 35.00). Bei Wohngemeinschaften mit erwachsenen Personen (inkl. Konkubinatsverhältnisse) wird der Betrag halbiert. Bei nachgewiesenen und gerechtfertigten höheren Prämien kann er erhöht werden.</t>
        </r>
      </text>
    </comment>
    <comment ref="A53" authorId="0" shapeId="0" xr:uid="{00000000-0006-0000-0100-000016000000}">
      <text>
        <r>
          <rPr>
            <b/>
            <sz val="9"/>
            <color indexed="81"/>
            <rFont val="Arial"/>
            <family val="2"/>
          </rPr>
          <t xml:space="preserve">Siehe auch Kommentar, Abschnitt "4. Auslagen/Bedarf".
</t>
        </r>
        <r>
          <rPr>
            <sz val="9"/>
            <color indexed="81"/>
            <rFont val="Arial"/>
            <family val="2"/>
          </rPr>
          <t xml:space="preserve">Grundsätzlich Kosten für öffentliche Verkehrsmittel, maximal Generalabonnement; Fahrkosten mit Privatfahrzeug, wenn aufgrund der konkreten Verhältnisse, namentlich des Arbeitsortes, dessen Erschliessung, der Lage der Arbeitszeiten sowie der Wahrnehmung von Betreuungspflichten die Benützung des öffentlichen Verkehrs nicht zumutbar ist. Bei guten finanziellen Verhältnissen u.U. Berücksichtigung der Autokosten auch dann, wenn das Fahrzeug nicht Kompetenzcharakter aufweist. </t>
        </r>
      </text>
    </comment>
    <comment ref="A54" authorId="0" shapeId="0" xr:uid="{00000000-0006-0000-0100-000017000000}">
      <text>
        <r>
          <rPr>
            <sz val="9"/>
            <color indexed="81"/>
            <rFont val="Arial"/>
            <family val="2"/>
          </rPr>
          <t>Für Mehrauslagen bei auswärtiger Verpflegung, sofern nicht vom Arbeitgeber bezahlt: Fr. 9.00 bis Fr. 11.00 für jede Hauptmahlzeit (gemäss SchKG-Richtlinien).</t>
        </r>
      </text>
    </comment>
    <comment ref="A55" authorId="0" shapeId="0" xr:uid="{00000000-0006-0000-0100-000018000000}">
      <text>
        <r>
          <rPr>
            <sz val="9"/>
            <color indexed="81"/>
            <rFont val="Arial"/>
            <family val="2"/>
          </rPr>
          <t>Gemäss SchKG-Richtlinien: Für erhöhten Nahrungsbedarf bei Schwerarbeit (Erd-, Bau- und Giessereiarbeiter und ähnliche Berufe), bei Schicht- und Nachtarbeit: Fr. 5.50 pro Arbeitstag. Für erhöhten Kleider- und Wäscheverbrauch maximal Fr. 50.00 pro Monat.</t>
        </r>
      </text>
    </comment>
    <comment ref="A56" authorId="0" shapeId="0" xr:uid="{00000000-0006-0000-0100-000019000000}">
      <text>
        <r>
          <rPr>
            <b/>
            <sz val="9"/>
            <color indexed="81"/>
            <rFont val="Arial"/>
            <family val="2"/>
          </rPr>
          <t xml:space="preserve">Siehe auch Kommentar, Abschnitt "4. Auslagen/Bedarf".
</t>
        </r>
        <r>
          <rPr>
            <sz val="9"/>
            <color indexed="81"/>
            <rFont val="Arial"/>
            <family val="2"/>
          </rPr>
          <t xml:space="preserve">Laufende Einkommens- (Bund, Kanton, Gemeinde) und Vermögenssteuern (Kanton, Gemeinde), ev. Kirchensteuer. Grundlage: Voraussichtliche Steuern bei getrennter Veranlagung. 
</t>
        </r>
        <r>
          <rPr>
            <b/>
            <sz val="9"/>
            <color indexed="81"/>
            <rFont val="Arial"/>
            <family val="2"/>
          </rPr>
          <t>Die Berechnung erfolgt automatisch, wobei zuvor das Blatt "Steuerangaben" auszufüllen ist</t>
        </r>
        <r>
          <rPr>
            <sz val="9"/>
            <color indexed="81"/>
            <rFont val="Arial"/>
            <family val="2"/>
          </rPr>
          <t xml:space="preserve">. Das Resultat der automatischen Berechnung kann überschrieben werden, und es kann später eine durch Klick auf die Schaltfläche "Berechnen/calcul" eine neue Berechnung durchgeführt werden.
</t>
        </r>
        <r>
          <rPr>
            <b/>
            <sz val="9"/>
            <color indexed="81"/>
            <rFont val="Arial"/>
            <family val="2"/>
          </rPr>
          <t>Kinder</t>
        </r>
        <r>
          <rPr>
            <sz val="9"/>
            <color indexed="81"/>
            <rFont val="Arial"/>
            <family val="2"/>
          </rPr>
          <t xml:space="preserve">: Es ist ein eigener Anteil der Steuern auf den UB für die Kinder nach Ermessen auszuscheiden.( Eine automatisierte Berechnung ist angesichts der zahlreichen relevanten Faktoren nicht möglich).  
</t>
        </r>
        <r>
          <rPr>
            <b/>
            <sz val="9"/>
            <color indexed="81"/>
            <rFont val="Arial"/>
            <family val="2"/>
          </rPr>
          <t xml:space="preserve">
Siehe auch Kommentar, Abschnitt "6. Besondere Einkommenssituationen".</t>
        </r>
        <r>
          <rPr>
            <sz val="9"/>
            <color indexed="81"/>
            <rFont val="Arial"/>
            <family val="2"/>
          </rPr>
          <t xml:space="preserve">
Laufende Steuern, welche mit der Erzielung des unterhaltsrelevanten Einkommens zusammenhängen, sind in Mangelfällen auf Seiten des Unterhaltsschuldners nicht zu berücksichtigen; die Zelle wird rosa eingefärbt, die Korrektur ist manuell vorzunehmen.</t>
        </r>
      </text>
    </comment>
    <comment ref="A57" authorId="1" shapeId="0" xr:uid="{00000000-0006-0000-0100-00001A000000}">
      <text>
        <r>
          <rPr>
            <b/>
            <sz val="9"/>
            <color indexed="81"/>
            <rFont val="Arial"/>
            <family val="2"/>
          </rPr>
          <t xml:space="preserve">Siehe auch Kommentar, Abschnitt "4. Auslagen/Bedarf".
</t>
        </r>
        <r>
          <rPr>
            <sz val="9"/>
            <color indexed="81"/>
            <rFont val="Arial"/>
            <family val="2"/>
          </rPr>
          <t>Abzahlungsraten und Schuldzinse sind nur zu berücksichtigen, wenn die Schuld für den Erwerb von Kompetenzstücken verwendet wurde, oder wenn beide Ehegatten vom Gegenwert profitiert haben, oder wenn beide Ehegatten Schuldner sind. Voraussetzung ist im weiteren, dass die Zinse bzw. Raten tatsächlich bezahlt werden. Entsteht durch die Berücksichtigung von Kreditraten ein Defizit, so sind die Ratenzahlungen zu kürzen oder ganz zu streichen, da die öffentliche Sozialhilfe keine Beiträge zur Tilgung von Schulden leistet. Zu empfehlen ist die Regelung der Abzahlungsdauer und der Höhe der Abzahlungen in der Konvention, allenfalls mit anschliessender Anpassung der Unterhaltsbeiträge. Steuerschulden sind zu berücksichtigen, soweit sie den Zeitraum der Ehe betreffen.</t>
        </r>
        <r>
          <rPr>
            <sz val="9"/>
            <color indexed="81"/>
            <rFont val="Segoe UI"/>
            <family val="2"/>
          </rPr>
          <t xml:space="preserve">
</t>
        </r>
      </text>
    </comment>
    <comment ref="A59" authorId="0" shapeId="0" xr:uid="{00000000-0006-0000-0100-00001B000000}">
      <text>
        <r>
          <rPr>
            <sz val="9"/>
            <color indexed="81"/>
            <rFont val="Arial"/>
            <family val="2"/>
          </rPr>
          <t>Spezielle Schulung, Hobbys (sofern nicht aus Überschussanteil zu finanzieren), besondere Gesundheitskosten etc.</t>
        </r>
      </text>
    </comment>
    <comment ref="A60" authorId="2" shapeId="0" xr:uid="{00000000-0006-0000-0100-00001C000000}">
      <text>
        <r>
          <rPr>
            <sz val="9"/>
            <color indexed="81"/>
            <rFont val="Arial"/>
            <family val="2"/>
          </rPr>
          <t>Spezielle Schulung, Hobbys (sofern nicht aus Überschussanteil zu finanzieren), besondere Gesundheitskosten, ev. Ausübung Besuchsrecht etc.</t>
        </r>
      </text>
    </comment>
    <comment ref="A61" authorId="1" shapeId="0" xr:uid="{00000000-0006-0000-0100-00001D000000}">
      <text>
        <r>
          <rPr>
            <b/>
            <sz val="9"/>
            <color indexed="81"/>
            <rFont val="Arial"/>
            <family val="2"/>
          </rPr>
          <t>Siehe auch Kommentar, Abschnitt "4. Auslagen/Bedarf".</t>
        </r>
        <r>
          <rPr>
            <sz val="9"/>
            <color indexed="81"/>
            <rFont val="Arial"/>
            <family val="2"/>
          </rPr>
          <t xml:space="preserve">
Sind zu berücksichtigen, soweit sie tatsächlich anfallen oder anfallen werden. 
</t>
        </r>
      </text>
    </comment>
    <comment ref="A62" authorId="0" shapeId="0" xr:uid="{00000000-0006-0000-0100-00001E000000}">
      <text>
        <r>
          <rPr>
            <sz val="9"/>
            <color indexed="81"/>
            <rFont val="Arial"/>
            <family val="2"/>
          </rPr>
          <t xml:space="preserve">Vernünftige Weiterbildungkosten können im Rahmen der für die Berufsausübung unumgänglichen Ausgaben berücksichtigt werden. Diese Position berücksichtigt die Entwicklung des Arbeitsmarktes. 
</t>
        </r>
      </text>
    </comment>
    <comment ref="A63" authorId="0" shapeId="0" xr:uid="{00000000-0006-0000-0100-00001F000000}">
      <text>
        <r>
          <rPr>
            <sz val="9"/>
            <color indexed="81"/>
            <rFont val="Arial"/>
            <family val="2"/>
          </rPr>
          <t xml:space="preserve">Grössere Kosten für Arzt, Zahnarzt, Heilmittel etc. (Richtwert: höher als Fr. 50.00 pro Monat), welche von der Krankenkasse nicht vergütet werden. Gestützt auf die angegebenen Werte wird der Krankheitskostenabzug für die Steuern berechnet.
</t>
        </r>
      </text>
    </comment>
    <comment ref="A64" authorId="0" shapeId="0" xr:uid="{00000000-0006-0000-0100-000020000000}">
      <text>
        <r>
          <rPr>
            <sz val="9"/>
            <color indexed="81"/>
            <rFont val="Arial"/>
            <family val="2"/>
          </rPr>
          <t xml:space="preserve">Sofern eine angemessene Altersvorsorge nicht anderweitig sichergestellt ist und aufgebaut werden muss, oder sofern die angemessene Altersvorsorge des Gläubigers nicht durch eine Teilung der Austrittsleistungen erfolgt , sondern über Unterhaltsbeiträge herbeigeführt werden muss (vgl. Urs Gloor, FamPra 4/2008 731 ff.; BGer 5A_210/2008).
Bei einer Eingabe in dieser Zeile müssen die Steuerangaben überprüft und eventuell von Hand ergänzt werden. Multiplikation mit 12 nicht vergessen! </t>
        </r>
      </text>
    </comment>
    <comment ref="A65" authorId="0" shapeId="0" xr:uid="{00000000-0006-0000-0100-000021000000}">
      <text>
        <r>
          <rPr>
            <sz val="9"/>
            <color indexed="81"/>
            <rFont val="Arial"/>
            <family val="2"/>
          </rPr>
          <t xml:space="preserve">Stehen in dieser Zeile Angaben, so sind die Steuerangaben zu überprüfen. Die Zahlen müssen, wenn es sich um abzugfähige Unterhaltsbeiträge handelt, manuell ergänzt werden. Multiplikation mit 12 nicht vergessen! </t>
        </r>
      </text>
    </comment>
    <comment ref="A80" authorId="1" shapeId="0" xr:uid="{103DC53B-BB46-4008-84C7-0575DD97EFBC}">
      <text>
        <r>
          <rPr>
            <b/>
            <sz val="9"/>
            <color indexed="81"/>
            <rFont val="Arial"/>
            <family val="2"/>
          </rPr>
          <t>Siehe auch Kommentar, Abschnitt "3.5. Weitere Berechnungsschritte".</t>
        </r>
        <r>
          <rPr>
            <sz val="9"/>
            <color indexed="81"/>
            <rFont val="Arial"/>
            <family val="2"/>
          </rPr>
          <t xml:space="preserve">
Wo eine Vorabzuteilung von Einkommen gerechtfertigt ist (überobligatorische Tätigkeit eines Elternteils; Belassen des selbst erwirtschafteten Überschusses; bei Kindern: Lehrlingslohn z.B.), kann der entsprechende Betrag hier angegeben werden. Gegebenenfalls reduziert sich der Gesamtbetrag, und es verbleibt der konkret aufzuteilende Betrag. 
</t>
        </r>
        <r>
          <rPr>
            <b/>
            <sz val="9"/>
            <color indexed="81"/>
            <rFont val="Arial"/>
            <family val="2"/>
          </rPr>
          <t>Achtung! Erzielt der hauptbetreuende Elternteil selbst einen Überschuss, ist hier oder beim Verteiler zu korrigieren, damit er nicht oder nur beschränkt zum Barunterhalt beitragen muss.</t>
        </r>
      </text>
    </comment>
    <comment ref="A84" authorId="1" shapeId="0" xr:uid="{00000000-0006-0000-0100-000023000000}">
      <text>
        <r>
          <rPr>
            <b/>
            <sz val="9"/>
            <color indexed="81"/>
            <rFont val="Arial"/>
            <family val="2"/>
          </rPr>
          <t>Siehe auch Kommentar, Abschnitt "5. Weitere Berechnungsschritte".</t>
        </r>
        <r>
          <rPr>
            <sz val="9"/>
            <color indexed="81"/>
            <rFont val="Arial"/>
            <family val="2"/>
          </rPr>
          <t xml:space="preserve">
Es wird automatisch eine Aufteilung nach Köpfen vorgegeben, wobei Kinder wie ein „halber Erwachsener“ zählen.</t>
        </r>
        <r>
          <rPr>
            <sz val="9"/>
            <color indexed="81"/>
            <rFont val="Segoe UI"/>
            <family val="2"/>
          </rPr>
          <t xml:space="preserve"> 
</t>
        </r>
      </text>
    </comment>
    <comment ref="A99" authorId="1" shapeId="0" xr:uid="{00000000-0006-0000-0100-000024000000}">
      <text>
        <r>
          <rPr>
            <b/>
            <sz val="9"/>
            <color indexed="81"/>
            <rFont val="Arial"/>
            <family val="2"/>
          </rPr>
          <t xml:space="preserve">Siehe auch Kommentar, Abschnitt "5. Weitere Berechnungsschritte".
</t>
        </r>
        <r>
          <rPr>
            <sz val="9"/>
            <color indexed="81"/>
            <rFont val="Arial"/>
            <family val="2"/>
          </rPr>
          <t xml:space="preserve">Dieser Abschnitt beinhaltet die Gegenüberstellung des Bedarfs (inklusive Überschussanteil und wo relevant auch die Angabe vorabzugeteilter Mittel) mit dem eigenen Einkommen. Daraus ergibt sich, was den Beteiligten zusteht („+„) bzw. vom Verpflichteten zu bezahlen ist („-“). 
</t>
        </r>
      </text>
    </comment>
    <comment ref="A111" authorId="1" shapeId="0" xr:uid="{00000000-0006-0000-0100-000025000000}">
      <text>
        <r>
          <rPr>
            <sz val="9"/>
            <color indexed="81"/>
            <rFont val="Arial"/>
            <family val="2"/>
          </rPr>
          <t>optional; dient einer allfälligen Verteilung des Betreuungsunterhalts, welche "nicht   nach Köpfen" erfolgt</t>
        </r>
      </text>
    </comment>
    <comment ref="A118" authorId="1" shapeId="0" xr:uid="{00000000-0006-0000-0100-000026000000}">
      <text>
        <r>
          <rPr>
            <b/>
            <sz val="9"/>
            <color indexed="81"/>
            <rFont val="Arial"/>
            <family val="2"/>
          </rPr>
          <t>Siehe auch Kommentar, Abschnitt "5. Weitere Berechnungsschritte".</t>
        </r>
        <r>
          <rPr>
            <sz val="9"/>
            <color indexed="81"/>
            <rFont val="Arial"/>
            <family val="2"/>
          </rPr>
          <t xml:space="preserve">
Das auf die Lebenskosten des Betreuenden entfallende Manko (konkret: Differenz zwischen Einkommen des Betreuenden und seinem Grundbedarf; exklusiv Vorsorge und evtl. Unterhaltsbeiträge an Dritte) wird auf die Kinder verteilt (Betreuungsunterhalt). 
Für die Aufteilung ist zu entscheiden, ob die als „default“ angegebene Verteilung nach Köpfen anzuwenden ist oder ob allenfalls (z.B. für ältere Kinder) ein kleinerer Anteil am Betreuungsunterhalt gerechtfertigt und folglich eine manuelle Anpassung erforderlich ist (siehe auch oben, Betreuungszeit in Prozent aufgrund Alter).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Bähler und Annette Spycher</author>
  </authors>
  <commentList>
    <comment ref="E3" authorId="0" shapeId="0" xr:uid="{00000000-0006-0000-0200-000001000000}">
      <text>
        <r>
          <rPr>
            <sz val="9"/>
            <color indexed="81"/>
            <rFont val="Arial"/>
            <family val="2"/>
          </rPr>
          <t>Das Alter der Kinder wird automatisch der hier eingegebenen Jahrzahl angepasst.</t>
        </r>
      </text>
    </comment>
    <comment ref="I4" authorId="0" shapeId="0" xr:uid="{00000000-0006-0000-0200-000002000000}">
      <text>
        <r>
          <rPr>
            <sz val="9"/>
            <color indexed="81"/>
            <rFont val="Arial"/>
            <family val="2"/>
          </rPr>
          <t>Mit Klick auf die Schaltfläche "Berechnen" wird die Steuerberechnung neu vorgenommen, nachdem die Werte in der Zeile "Laufende Steuern" gelöscht oder überschrieben wurden.</t>
        </r>
      </text>
    </comment>
    <comment ref="A53" authorId="0" shapeId="0" xr:uid="{00000000-0006-0000-0200-00001C000000}">
      <text>
        <r>
          <rPr>
            <sz val="9"/>
            <color indexed="81"/>
            <rFont val="Arial"/>
            <family val="2"/>
          </rPr>
          <t>Nebenstehenden Kommentar beachten!</t>
        </r>
        <r>
          <rPr>
            <sz val="8"/>
            <color indexed="81"/>
            <rFont val="Tahoma"/>
            <family val="2"/>
          </rPr>
          <t xml:space="preserve">
</t>
        </r>
      </text>
    </comment>
    <comment ref="A54" authorId="0" shapeId="0" xr:uid="{00000000-0006-0000-0200-00001F000000}">
      <text>
        <r>
          <rPr>
            <sz val="9"/>
            <color indexed="81"/>
            <rFont val="Arial"/>
            <family val="2"/>
          </rPr>
          <t>Nebenstehenden Kommentar beachten!</t>
        </r>
        <r>
          <rPr>
            <sz val="8"/>
            <color indexed="81"/>
            <rFont val="Tahoma"/>
            <family val="2"/>
          </rPr>
          <t xml:space="preserve">
</t>
        </r>
      </text>
    </comment>
    <comment ref="B84" authorId="0" shapeId="0" xr:uid="{00000000-0006-0000-0200-000026000000}">
      <text>
        <r>
          <rPr>
            <sz val="9"/>
            <color indexed="81"/>
            <rFont val="Arial"/>
            <family val="2"/>
          </rPr>
          <t>Das Blatt berechnet zunächst den Saldo aller Leistungen des einen an den anderen Ehegatten. Die Aufschlüsselung erfolgt in den untenstehenden Zellen, ggf. gemäss manuellen Eingaben.
Negative Zahl = bezahlt, positive Zahl = erhält.</t>
        </r>
      </text>
    </comment>
    <comment ref="B93" authorId="0" shapeId="0" xr:uid="{00000000-0006-0000-0200-000027000000}">
      <text>
        <r>
          <rPr>
            <b/>
            <sz val="9"/>
            <color indexed="81"/>
            <rFont val="Arial"/>
            <family val="2"/>
          </rPr>
          <t>Kreisschreiben Nr. 1 der Zivilabteilung des Obergerichts und des Verwaltungsgerichts des Kantons Bern:</t>
        </r>
        <r>
          <rPr>
            <sz val="9"/>
            <color indexed="81"/>
            <rFont val="Arial"/>
            <family val="2"/>
          </rPr>
          <t xml:space="preserve"> 
Die unentgeltliche Rechtspflege ist - vorbehältlich der materiellen Voraussetzungen
- zu gewähren, wenn das Einkommen geringer ist als der zivilprozessuale
Zwangsbedarf oder ihn gerade erreicht bzw. bloss geringfügig übersteigt.
Übersteigt das Einkommen den zivilprozessualen Zwangsbedarf um mehr als
nur einen geringen Betrag, so ist zu prüfen, welche Verfahrens- und allenfalls
Anwaltskosten der beabsichtigte Prozess der das Gesuch stellenden Person
verursachen kann. Der Überschuss über den zivilprozessualen Zwangsbedarf
sollte es der Gesuch stellenden Person ermöglichen, die Kosten bei weniger
kostspieligen Prozessen innert Jahresfrist, bei andern innert zwei Jahren zu tilgen.
Liegen die Voraussetzungen hierfür vor, so ist die unentgeltliche Rechtspflege
zu verweigern. Reicht der Überschuss über den zivilprozessualen Zwangsbedarf nicht aus, um die mutmasslichen Kosten in der erwähnten Art zu tilgen, so ist weiter zu prüfen, ob die unentgeltliche Rechtspflege allenfalls beschränkt erteilt werden kann für die Verfahrenskosten oder für die Kosten der amtlichen Vertretung. Es ist auch zu erwägen, die unentgeltliche Rechtspflege zu erteilen für den Fall, dass die Kosten der amtlichen Vertretung oder die Verfahrenskosten einen bestimmten, nach Massgabe des Überschusses zu bestimmenden Betrag übersteigen. Diese Beschränkungsmöglichkeiten erlauben es, auch jenen Fällen Rechnung zu tragen, in denen das Einkommen wohl den zivilprozessualen Zwangsbedarf übersteigt, aber offensichtlich zur Führung des beabsichtigten Prozesses doch nicht ausreicht.
Familienrechtliche Unterhaltsansprüche gehen dem Anspruch gegenüber dem Staat auf unentgeltliche Prozessführung vor. Ergibt die Berechnung somit für die ganze Familie insgesamt einen Überschuss, so ist vorerst zu prüfen, ob der eine Ehegatte dazu verpflichtet werden kann, dem anderen einen Prozesskostenvorschuss zu leisten.</t>
        </r>
      </text>
    </comment>
    <comment ref="A95" authorId="0" shapeId="0" xr:uid="{00000000-0006-0000-0200-000028000000}">
      <text>
        <r>
          <rPr>
            <sz val="9"/>
            <color indexed="81"/>
            <rFont val="Arial"/>
            <family val="2"/>
          </rPr>
          <t>Es wird der oben errechnete Unterhaltsbeitrag übernommen. Der Betrag kann aber beim berechtigten Ehegatten geändert werden.</t>
        </r>
      </text>
    </comment>
    <comment ref="C95" authorId="0" shapeId="0" xr:uid="{00000000-0006-0000-0200-000029000000}">
      <text>
        <r>
          <rPr>
            <sz val="9"/>
            <color indexed="81"/>
            <rFont val="Arial"/>
            <family val="2"/>
          </rPr>
          <t>Es wird der oben errechnete Unterhaltsbeitrag übernommen. Der Betrag kann aber beim berechtigten Ehegatten geändert werden.</t>
        </r>
      </text>
    </comment>
    <comment ref="B101" authorId="0" shapeId="0" xr:uid="{00000000-0006-0000-0200-00002A000000}">
      <text>
        <r>
          <rPr>
            <sz val="9"/>
            <color indexed="81"/>
            <rFont val="Arial"/>
            <family val="2"/>
          </rPr>
          <t>Unmittelbar bevorstehehende grössere Kosten (über Fr. 50.00 pro Monat) für Arzt, Heilmittel, Spitalaufenthalt oder Wohnungswechsel (nur Möbeltransport, nicht Anschaffung von Mobiliar).</t>
        </r>
        <r>
          <rPr>
            <sz val="8"/>
            <color indexed="81"/>
            <rFont val="Tahoma"/>
            <family val="2"/>
          </rPr>
          <t xml:space="preserve">
</t>
        </r>
      </text>
    </comment>
    <comment ref="B102" authorId="0" shapeId="0" xr:uid="{00000000-0006-0000-0200-00002B000000}">
      <text>
        <r>
          <rPr>
            <sz val="9"/>
            <color indexed="81"/>
            <rFont val="Arial"/>
            <family val="2"/>
          </rPr>
          <t>Für uR im Grundbetrag bzw. im zivilprozessualen Zuschlag inbegriffen.</t>
        </r>
      </text>
    </comment>
    <comment ref="B103" authorId="0" shapeId="0" xr:uid="{00000000-0006-0000-0200-00002C000000}">
      <text>
        <r>
          <rPr>
            <sz val="9"/>
            <color indexed="81"/>
            <rFont val="Arial"/>
            <family val="2"/>
          </rPr>
          <t>Für uR im Grundbetrag bzw. im zivilprozessualen Zuschlag inbegriffen.</t>
        </r>
      </text>
    </comment>
    <comment ref="B104" authorId="0" shapeId="0" xr:uid="{00000000-0006-0000-0200-00002D000000}">
      <text>
        <r>
          <rPr>
            <sz val="9"/>
            <color indexed="81"/>
            <rFont val="Arial"/>
            <family val="2"/>
          </rPr>
          <t>Für uR im Grundbetrag bzw. im zivilprozessualen Zuschlag inbegriffen.</t>
        </r>
      </text>
    </comment>
    <comment ref="B105" authorId="0" shapeId="0" xr:uid="{00000000-0006-0000-0200-00002E000000}">
      <text>
        <r>
          <rPr>
            <sz val="9"/>
            <color indexed="81"/>
            <rFont val="Arial"/>
            <family val="2"/>
          </rPr>
          <t>Für uR im Grundbetrag bzw. im zivilprozessualen Zuschlag inbegriffen.</t>
        </r>
      </text>
    </comment>
    <comment ref="E110" authorId="0" shapeId="0" xr:uid="{00000000-0006-0000-0200-00002F000000}">
      <text>
        <r>
          <rPr>
            <sz val="9"/>
            <color indexed="81"/>
            <rFont val="Arial"/>
            <family val="2"/>
          </rPr>
          <t>Ist diese Summe höher als die mutmasslichen Prozesskosten beider Parteien, so liegen die Voraussetzungen für die unentgeltliche Rechtspflege in der Regel nicht vor. Allenfalls hat der eine Ehegatte dem anderen einen Prozesskostenvorschuss zu leisten.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Bähler und Annette Spycher</author>
    <author>Daniel Bähler</author>
  </authors>
  <commentList>
    <comment ref="C7" authorId="0" shapeId="0" xr:uid="{00000000-0006-0000-0300-000001000000}">
      <text>
        <r>
          <rPr>
            <sz val="9"/>
            <color indexed="81"/>
            <rFont val="Arial"/>
            <family val="2"/>
          </rPr>
          <t>Zutreffendes ankreuzen!</t>
        </r>
      </text>
    </comment>
    <comment ref="F7" authorId="0" shapeId="0" xr:uid="{00000000-0006-0000-0300-000002000000}">
      <text>
        <r>
          <rPr>
            <sz val="9"/>
            <color indexed="81"/>
            <rFont val="Arial"/>
            <family val="2"/>
          </rPr>
          <t>Zutreffendes ankreuzen!</t>
        </r>
      </text>
    </comment>
    <comment ref="C10" authorId="0" shapeId="0" xr:uid="{00000000-0006-0000-0300-000003000000}">
      <text>
        <r>
          <rPr>
            <sz val="9"/>
            <color indexed="81"/>
            <rFont val="Arial"/>
            <family val="2"/>
          </rPr>
          <t>Zutreffendes ankreuzen!</t>
        </r>
      </text>
    </comment>
    <comment ref="F10" authorId="0" shapeId="0" xr:uid="{00000000-0006-0000-0300-000004000000}">
      <text>
        <r>
          <rPr>
            <sz val="9"/>
            <color indexed="81"/>
            <rFont val="Arial"/>
            <family val="2"/>
          </rPr>
          <t>Zutreffendes ankreuzen!</t>
        </r>
      </text>
    </comment>
    <comment ref="B11" authorId="0" shapeId="0" xr:uid="{00000000-0006-0000-0300-000005000000}">
      <text>
        <r>
          <rPr>
            <sz val="9"/>
            <color indexed="81"/>
            <rFont val="Arial"/>
            <family val="2"/>
          </rPr>
          <t>Gilt auch für geschiedene und getrennt lebende Personen mit Kindern im gleichen Haushalt (Art. 36 Abs. 2 DBG)</t>
        </r>
      </text>
    </comment>
    <comment ref="E11" authorId="0" shapeId="0" xr:uid="{00000000-0006-0000-0300-000006000000}">
      <text>
        <r>
          <rPr>
            <sz val="9"/>
            <color indexed="81"/>
            <rFont val="Arial"/>
            <family val="2"/>
          </rPr>
          <t>Gilt auch für geschiedene und getrennt lebende Personen mit Kindern im gleichen Haushalt (Art. 36 Abs. 2 DBG)</t>
        </r>
      </text>
    </comment>
    <comment ref="B14" authorId="0" shapeId="0" xr:uid="{00000000-0006-0000-0300-000007000000}">
      <text>
        <r>
          <rPr>
            <sz val="9"/>
            <color indexed="81"/>
            <rFont val="Arial"/>
            <family val="2"/>
          </rPr>
          <t>Wenn das Feld rechts angekreuzt ist, werden die Berufskosten auf Null gesetzt (bei der Berechnung des Reingewinns bereits abgezogen).</t>
        </r>
      </text>
    </comment>
    <comment ref="C14" authorId="0" shapeId="0" xr:uid="{00000000-0006-0000-0300-000008000000}">
      <text>
        <r>
          <rPr>
            <sz val="9"/>
            <color indexed="81"/>
            <rFont val="Arial"/>
            <family val="2"/>
          </rPr>
          <t>Ankreuzen, wenn zutreffend!</t>
        </r>
      </text>
    </comment>
    <comment ref="E14" authorId="0" shapeId="0" xr:uid="{00000000-0006-0000-0300-000009000000}">
      <text>
        <r>
          <rPr>
            <sz val="9"/>
            <color indexed="81"/>
            <rFont val="Arial"/>
            <family val="2"/>
          </rPr>
          <t>Wenn das Feld rechts angekreuzt ist, werden die Berufskosten auf Null gesetzt (bei der Berechnung des Reingewinns bereits abgezogen).</t>
        </r>
      </text>
    </comment>
    <comment ref="F14" authorId="0" shapeId="0" xr:uid="{00000000-0006-0000-0300-00000A000000}">
      <text>
        <r>
          <rPr>
            <sz val="9"/>
            <color indexed="81"/>
            <rFont val="Arial"/>
            <family val="2"/>
          </rPr>
          <t>Ankreuzen, wenn zutreffend!</t>
        </r>
      </text>
    </comment>
    <comment ref="C16" authorId="0" shapeId="0" xr:uid="{00000000-0006-0000-0300-00000F000000}">
      <text>
        <r>
          <rPr>
            <sz val="9"/>
            <color indexed="81"/>
            <rFont val="Arial"/>
            <family val="2"/>
          </rPr>
          <t>Ankreuzen, wenn zutreffend!</t>
        </r>
      </text>
    </comment>
    <comment ref="F16" authorId="0" shapeId="0" xr:uid="{00000000-0006-0000-0300-000010000000}">
      <text>
        <r>
          <rPr>
            <sz val="9"/>
            <color indexed="81"/>
            <rFont val="Arial"/>
            <family val="2"/>
          </rPr>
          <t>Ankreuzen, wenn zutreffend!</t>
        </r>
      </text>
    </comment>
    <comment ref="C17" authorId="0" shapeId="0" xr:uid="{00000000-0006-0000-0300-000011000000}">
      <text>
        <r>
          <rPr>
            <sz val="9"/>
            <color indexed="81"/>
            <rFont val="Arial"/>
            <family val="2"/>
          </rPr>
          <t>Ankreuzen, wenn zutreffend!</t>
        </r>
      </text>
    </comment>
    <comment ref="F17" authorId="0" shapeId="0" xr:uid="{00000000-0006-0000-0300-000012000000}">
      <text>
        <r>
          <rPr>
            <sz val="9"/>
            <color indexed="81"/>
            <rFont val="Arial"/>
            <family val="2"/>
          </rPr>
          <t>Ankreuzen, wenn zutreffend!</t>
        </r>
      </text>
    </comment>
    <comment ref="A27" authorId="0" shapeId="0" xr:uid="{00000000-0006-0000-0300-000013000000}">
      <text>
        <r>
          <rPr>
            <sz val="9"/>
            <color indexed="81"/>
            <rFont val="Arial"/>
            <family val="2"/>
          </rPr>
          <t xml:space="preserve">Wehrdienstpflichtersatz, Liegenschaftssteuer etc.
</t>
        </r>
      </text>
    </comment>
    <comment ref="A32" authorId="0" shapeId="0" xr:uid="{00000000-0006-0000-0300-000014000000}">
      <text>
        <r>
          <rPr>
            <sz val="9"/>
            <color indexed="81"/>
            <rFont val="Arial"/>
            <family val="2"/>
          </rPr>
          <t>Bruttoeinkommen abzüglich Beiträge an AHV/IV/ALV, berufliche Vorsorge und NBUV.</t>
        </r>
      </text>
    </comment>
    <comment ref="A33" authorId="0" shapeId="0" xr:uid="{00000000-0006-0000-0300-000015000000}">
      <text>
        <r>
          <rPr>
            <sz val="9"/>
            <color indexed="81"/>
            <rFont val="Arial"/>
            <family val="2"/>
          </rPr>
          <t>Beträge, die bei der Ermittlung des Nettoeinkommens für die Unterhaltsberechnung abgezogen wurden, aber steuerlich nicht oder nur beschränkt abzugfähig sind.</t>
        </r>
      </text>
    </comment>
    <comment ref="C37" authorId="0" shapeId="0" xr:uid="{00000000-0006-0000-0300-000016000000}">
      <text>
        <r>
          <rPr>
            <sz val="9"/>
            <color indexed="81"/>
            <rFont val="Arial"/>
            <family val="2"/>
          </rPr>
          <t>Direkte Bundessteuer: Unter gewissen Voraussetzungen nur zu 80 % steuerbar. Wegleitung zur Steuererklärung konsultieren.</t>
        </r>
      </text>
    </comment>
    <comment ref="F37" authorId="0" shapeId="0" xr:uid="{00000000-0006-0000-0300-000017000000}">
      <text>
        <r>
          <rPr>
            <sz val="9"/>
            <color indexed="81"/>
            <rFont val="Arial"/>
            <family val="2"/>
          </rPr>
          <t>Direkte Bundessteuer: Unter gewissen Voraussetzungen nur zu 80 % steuerbar. Wegleitung zur Steuererklärung konsultieren.</t>
        </r>
      </text>
    </comment>
    <comment ref="A50" authorId="0" shapeId="0" xr:uid="{00000000-0006-0000-0300-000019000000}">
      <text>
        <r>
          <rPr>
            <sz val="9"/>
            <color indexed="81"/>
            <rFont val="Arial"/>
            <family val="2"/>
          </rPr>
          <t>Annäherungsrechnung unter Berücksichtigung von Fahrkosten, auswärtiger Verpflegung, Weiterbildung und übriger Berufskosten (Teilpauschale). Die Plafonierung von Fahrkosten (FABI) ist berücksichtigt.
Bei selbstständig Erwerbenden werden die Berufskosten bereits bei der Berechnung des Reingewinns abgezogen.</t>
        </r>
      </text>
    </comment>
    <comment ref="A51" authorId="0" shapeId="0" xr:uid="{00000000-0006-0000-0300-00001A000000}">
      <text>
        <r>
          <rPr>
            <sz val="9"/>
            <color indexed="81"/>
            <rFont val="Arial"/>
            <family val="2"/>
          </rPr>
          <t>I.d.R 20 % vom Nettoeinkommen, Minimum und Maximum gemäss Blatt "Grundlagen".</t>
        </r>
      </text>
    </comment>
    <comment ref="A52" authorId="0" shapeId="0" xr:uid="{00000000-0006-0000-0300-00001B000000}">
      <text>
        <r>
          <rPr>
            <sz val="9"/>
            <color indexed="81"/>
            <rFont val="Arial"/>
            <family val="2"/>
          </rPr>
          <t xml:space="preserve">Krankenversicherungsprämien sind beschränkt abzugfähig, zusammen mit den Lebensversicherungsprämien und den Zinsen aus Sparkapitalien. </t>
        </r>
        <r>
          <rPr>
            <b/>
            <sz val="9"/>
            <color indexed="81"/>
            <rFont val="Arial"/>
            <family val="2"/>
          </rPr>
          <t>Die automatische Berechnung erfasst nur die Krankenversicherungsprämien.</t>
        </r>
        <r>
          <rPr>
            <sz val="9"/>
            <color indexed="81"/>
            <rFont val="Arial"/>
            <family val="2"/>
          </rPr>
          <t xml:space="preserve"> Die anderen Elemente sind gegebenenfalls von Hand beizufügen.</t>
        </r>
      </text>
    </comment>
    <comment ref="A60" authorId="0" shapeId="0" xr:uid="{00000000-0006-0000-0300-00001C000000}">
      <text>
        <r>
          <rPr>
            <sz val="9"/>
            <color indexed="81"/>
            <rFont val="Arial"/>
            <family val="2"/>
          </rPr>
          <t>Wenn eine Meldung erscheint, prüfen, ob ein Abzug zulässig ist. Unterhaltsbeiträge an volljährige Kinder können nicht abgezogen werden. Hingegen kann diesfalls in der Regel der Kinderabzug und der Versicherungsabzug geltend gemacht werden, was manuell zu korrigieren ist.</t>
        </r>
      </text>
    </comment>
    <comment ref="A61" authorId="0" shapeId="0" xr:uid="{00000000-0006-0000-0300-00001D000000}">
      <text>
        <r>
          <rPr>
            <sz val="9"/>
            <color indexed="81"/>
            <rFont val="Arial"/>
            <family val="2"/>
          </rPr>
          <t>Wenn eine Meldung erscheint, prüfen, ob ein Abzug zulässig ist. Unterhaltsbeiträge an volljährige Kinder können nicht abgezogen werden. Hingegen kann diesfalls in der Regel der Kinderabzug und der Versicherungsabzug geltend gemacht werden, was manuell zu korrigieren ist.</t>
        </r>
      </text>
    </comment>
    <comment ref="A70" authorId="0" shapeId="0" xr:uid="{00000000-0006-0000-0300-00001E000000}">
      <text>
        <r>
          <rPr>
            <sz val="9"/>
            <color indexed="81"/>
            <rFont val="Arial"/>
            <family val="2"/>
          </rPr>
          <t>Nur Kanton Bern.</t>
        </r>
      </text>
    </comment>
    <comment ref="A71" authorId="0" shapeId="0" xr:uid="{00000000-0006-0000-0300-00001F000000}">
      <text>
        <r>
          <rPr>
            <sz val="9"/>
            <color indexed="81"/>
            <rFont val="Arial"/>
            <family val="2"/>
          </rPr>
          <t>Nur Kanton Bern.</t>
        </r>
      </text>
    </comment>
    <comment ref="A73" authorId="1" shapeId="0" xr:uid="{00000000-0006-0000-0300-000020000000}">
      <text>
        <r>
          <rPr>
            <sz val="9"/>
            <color indexed="81"/>
            <rFont val="Arial"/>
            <family val="2"/>
          </rPr>
          <t>Wenn ein volljähriges Kind bei einem Elternteil wohnt und der andere Unterhaltsbeiträge leistet, steht der Kinderabzug in der Regel vollumfänglich demjenigen Elternteil zu, der Unterhaltsbeiträge leistet. Der andere Elternteil kann dafür den Unterstützungsabzug geltend machen.</t>
        </r>
        <r>
          <rPr>
            <sz val="9"/>
            <color indexed="81"/>
            <rFont val="Tahoma"/>
            <family val="2"/>
          </rPr>
          <t xml:space="preserve">
</t>
        </r>
      </text>
    </comment>
    <comment ref="A74" authorId="0" shapeId="0" xr:uid="{00000000-0006-0000-0300-000021000000}">
      <text>
        <r>
          <rPr>
            <sz val="9"/>
            <color indexed="81"/>
            <rFont val="Arial"/>
            <family val="2"/>
          </rPr>
          <t>Nur Kantone BE und BS.</t>
        </r>
      </text>
    </comment>
    <comment ref="A75" authorId="0" shapeId="0" xr:uid="{C226573D-798C-4226-8054-6158DAF82B24}">
      <text>
        <r>
          <rPr>
            <sz val="9"/>
            <color indexed="81"/>
            <rFont val="Arial"/>
            <family val="2"/>
          </rPr>
          <t>Nur Kantone BE und BS.</t>
        </r>
      </text>
    </comment>
    <comment ref="A76" authorId="0" shapeId="0" xr:uid="{00000000-0006-0000-0300-000023000000}">
      <text>
        <r>
          <rPr>
            <sz val="9"/>
            <color indexed="81"/>
            <rFont val="Arial"/>
            <family val="2"/>
          </rPr>
          <t>Es wird kein Betrag automatisch eingefügt. Der Höchstbetrag ist aus der Tabelle "Grundlagen" ersichtlich.</t>
        </r>
      </text>
    </comment>
    <comment ref="A77" authorId="1" shapeId="0" xr:uid="{00000000-0006-0000-0300-000024000000}">
      <text>
        <r>
          <rPr>
            <sz val="9"/>
            <color indexed="81"/>
            <rFont val="Arial"/>
            <family val="2"/>
          </rPr>
          <t>Wenn ein volljähriges Kind bei einem Elternteil wohnt und der andere Unterhaltsbeiträge leistet, steht der Kinderabzug in der Regel vollumfänglich demjenigen Elternteil zu, der Unterhaltsbeiträge leistet. Der andere Elternteil kann dafür den Unterstützungsabzug geltend machen.</t>
        </r>
        <r>
          <rPr>
            <sz val="9"/>
            <color indexed="81"/>
            <rFont val="Tahoma"/>
            <family val="2"/>
          </rPr>
          <t xml:space="preserve">
</t>
        </r>
      </text>
    </comment>
    <comment ref="A80" authorId="1" shapeId="0" xr:uid="{00000000-0006-0000-0300-000025000000}">
      <text>
        <r>
          <rPr>
            <b/>
            <sz val="9"/>
            <color indexed="81"/>
            <rFont val="Arial"/>
            <family val="2"/>
          </rPr>
          <t>BS:</t>
        </r>
        <r>
          <rPr>
            <sz val="9"/>
            <color indexed="81"/>
            <rFont val="Arial"/>
            <family val="2"/>
          </rPr>
          <t xml:space="preserve"> zusätzlicher Kinderabzug für tiefe Einkommen.</t>
        </r>
        <r>
          <rPr>
            <b/>
            <sz val="9"/>
            <color indexed="81"/>
            <rFont val="Arial"/>
            <family val="2"/>
          </rPr>
          <t xml:space="preserve">
LU:</t>
        </r>
        <r>
          <rPr>
            <sz val="9"/>
            <color indexed="81"/>
            <rFont val="Arial"/>
            <family val="2"/>
          </rPr>
          <t xml:space="preserve"> Erhöhung des Kinderabzugs für schulpflichtige Kinder.
</t>
        </r>
        <r>
          <rPr>
            <b/>
            <sz val="9"/>
            <color indexed="81"/>
            <rFont val="Arial"/>
            <family val="2"/>
          </rPr>
          <t>FR:</t>
        </r>
        <r>
          <rPr>
            <sz val="9"/>
            <color indexed="81"/>
            <rFont val="Arial"/>
            <family val="2"/>
          </rPr>
          <t xml:space="preserve"> zusätzlicher Kinderabzug für das dritte und weitere Kinder.
</t>
        </r>
        <r>
          <rPr>
            <b/>
            <sz val="9"/>
            <color indexed="81"/>
            <rFont val="Arial"/>
            <family val="2"/>
          </rPr>
          <t>SG:</t>
        </r>
        <r>
          <rPr>
            <sz val="9"/>
            <color indexed="81"/>
            <rFont val="Arial"/>
            <family val="2"/>
          </rPr>
          <t xml:space="preserve"> Erhöhung des Kinderabzugs für Kinder in Ausbildung.</t>
        </r>
      </text>
    </comment>
    <comment ref="A87" authorId="0" shapeId="0" xr:uid="{00000000-0006-0000-0300-000026000000}">
      <text>
        <r>
          <rPr>
            <b/>
            <sz val="9"/>
            <color indexed="81"/>
            <rFont val="Arial"/>
            <family val="2"/>
          </rPr>
          <t>BE, FR:</t>
        </r>
        <r>
          <rPr>
            <sz val="9"/>
            <color indexed="81"/>
            <rFont val="Arial"/>
            <family val="2"/>
          </rPr>
          <t xml:space="preserve"> Abzug für bescheidene Einkommen</t>
        </r>
      </text>
    </comment>
    <comment ref="A88" authorId="0" shapeId="0" xr:uid="{00000000-0006-0000-0300-000027000000}">
      <text>
        <r>
          <rPr>
            <b/>
            <sz val="9"/>
            <color indexed="81"/>
            <rFont val="Arial"/>
            <family val="2"/>
          </rPr>
          <t>BE:</t>
        </r>
        <r>
          <rPr>
            <sz val="9"/>
            <color indexed="81"/>
            <rFont val="Arial"/>
            <family val="2"/>
          </rPr>
          <t xml:space="preserve"> Abzug für bescheidene Einkommen (Zuschlag für Kinder)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Bähler</author>
  </authors>
  <commentList>
    <comment ref="A13" authorId="0" shapeId="0" xr:uid="{489B1162-66A9-4AF2-A6CE-79CF019FC2A2}">
      <text>
        <r>
          <rPr>
            <sz val="9"/>
            <color indexed="81"/>
            <rFont val="Arial"/>
            <family val="2"/>
          </rPr>
          <t>Gemäss Art. 16 BVG.</t>
        </r>
      </text>
    </comment>
    <comment ref="D20" authorId="0" shapeId="0" xr:uid="{00000000-0006-0000-0400-000001000000}">
      <text>
        <r>
          <rPr>
            <sz val="9"/>
            <color indexed="81"/>
            <rFont val="Arial"/>
            <family val="2"/>
          </rPr>
          <t>Alternativ kann "vor Trennung" gewählt werden (gemäss BGE 135 III 158 E. 4; Dropdown).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Bähler</author>
  </authors>
  <commentList>
    <comment ref="K86" authorId="0" shapeId="0" xr:uid="{00000000-0006-0000-0600-000001000000}">
      <text>
        <r>
          <rPr>
            <sz val="9"/>
            <color indexed="81"/>
            <rFont val="Arial"/>
            <family val="2"/>
          </rPr>
          <t>Für die jungen Erwachsenen in Ausbildung (ab vollendetem 18. Altersjahr bis 25. Altersjahr), die von der steuerpflichtigen Person unterhalten werden: 4'210 Franken pro Jahr. Die Differenz von 3'070 Franken wird unter "weiterer Sozialabzug 4" berücksichtigt.</t>
        </r>
        <r>
          <rPr>
            <sz val="8"/>
            <color indexed="81"/>
            <rFont val="Tahoma"/>
            <family val="2"/>
          </rPr>
          <t xml:space="preserve">
</t>
        </r>
      </text>
    </comment>
    <comment ref="L90" authorId="0" shapeId="0" xr:uid="{D11297E5-5FB9-4412-AFE2-B532B611E74C}">
      <text>
        <r>
          <rPr>
            <sz val="9"/>
            <color indexed="81"/>
            <rFont val="Arial"/>
            <family val="2"/>
          </rPr>
          <t>Zusätzlich zum Eigenbetreuungsabzug von CHF 2'000.00 unter "Weiterer Sozialabzug 2".</t>
        </r>
      </text>
    </comment>
    <comment ref="F96" authorId="0" shapeId="0" xr:uid="{8A18A77F-4C99-425D-B6D9-3766AA0B6547}">
      <text>
        <r>
          <rPr>
            <sz val="9"/>
            <color indexed="81"/>
            <rFont val="Arial"/>
            <family val="2"/>
          </rPr>
          <t>Zusätzlicher Abzug von CHF 1'000 (total CHF 10'300) für Kinder über 14 Jahre unter "weiterer Sozialabzug 1". Zusätzlicher Abzug von CHF 3'100 (total CHF12'400) für volljährige Kinder unter "weiterer Sozialabzug 2".</t>
        </r>
        <r>
          <rPr>
            <sz val="8"/>
            <color indexed="81"/>
            <rFont val="Tahoma"/>
            <family val="2"/>
          </rPr>
          <t xml:space="preserve">
</t>
        </r>
      </text>
    </comment>
    <comment ref="G96" authorId="0" shapeId="0" xr:uid="{DC79FB77-0F7E-417F-A9E6-BB3E976590C0}">
      <text>
        <r>
          <rPr>
            <sz val="9"/>
            <color indexed="81"/>
            <rFont val="Arial"/>
            <family val="2"/>
          </rPr>
          <t>Zusätzlicher Abzug von CHF 2'100 (total CHF 7'400) für Kinder von 5 bis 15 Jahren unter "weiterer Sozialabzug 1". Zusätzlicher Abzug von CHF 6'300 (total CHF 11'600) für Kinder über 15 Jahren unter "weiterer Sozialabzug 2".</t>
        </r>
        <r>
          <rPr>
            <sz val="8"/>
            <color indexed="81"/>
            <rFont val="Tahoma"/>
            <family val="2"/>
          </rPr>
          <t xml:space="preserve">
</t>
        </r>
      </text>
    </comment>
    <comment ref="K96" authorId="0" shapeId="0" xr:uid="{6BEB0249-42CF-4D81-B06D-230A678B11C0}">
      <text>
        <r>
          <rPr>
            <sz val="9"/>
            <color indexed="81"/>
            <rFont val="Arial"/>
            <family val="2"/>
          </rPr>
          <t>Maximalabzug; nach unten korrigiert unter "weiterer Sozialabzug 2".
Zusätzlicher Abzug von Fr. 1'000.00 ab dem 3. Kind unter "weiterer Sozialabzug 1".</t>
        </r>
        <r>
          <rPr>
            <sz val="8"/>
            <color indexed="81"/>
            <rFont val="Tahoma"/>
            <family val="2"/>
          </rPr>
          <t xml:space="preserve">
</t>
        </r>
      </text>
    </comment>
    <comment ref="M96" authorId="0" shapeId="0" xr:uid="{00000000-0006-0000-0600-000004000000}">
      <text>
        <r>
          <rPr>
            <sz val="9"/>
            <color indexed="81"/>
            <rFont val="Arial"/>
            <family val="2"/>
          </rPr>
          <t>Zusätzlicher Abzug von Fr. 3'200.00 für Kinder in Ausbildung unter "weiterer Sozialabzug 1".</t>
        </r>
        <r>
          <rPr>
            <sz val="8"/>
            <color indexed="81"/>
            <rFont val="Tahoma"/>
            <family val="2"/>
          </rPr>
          <t xml:space="preserve">
</t>
        </r>
      </text>
    </comment>
    <comment ref="L99" authorId="0" shapeId="0" xr:uid="{00000000-0006-0000-0600-000005000000}">
      <text>
        <r>
          <rPr>
            <sz val="9"/>
            <color indexed="81"/>
            <rFont val="Arial"/>
            <family val="2"/>
          </rPr>
          <t>Total CHF 13'200.00 (CHF 5'200 zusätzlich zum ordentlichen Kinderabzug von CHF 8'000.00).</t>
        </r>
        <r>
          <rPr>
            <sz val="8"/>
            <color indexed="81"/>
            <rFont val="Tahoma"/>
            <family val="2"/>
          </rPr>
          <t xml:space="preserve">
</t>
        </r>
      </text>
    </comment>
  </commentList>
</comments>
</file>

<file path=xl/sharedStrings.xml><?xml version="1.0" encoding="utf-8"?>
<sst xmlns="http://schemas.openxmlformats.org/spreadsheetml/2006/main" count="859" uniqueCount="192">
  <si>
    <t>Total</t>
  </si>
  <si>
    <t>x</t>
  </si>
  <si>
    <t>Bund</t>
  </si>
  <si>
    <t>Alleinstehend:</t>
  </si>
  <si>
    <t>Einkommen</t>
  </si>
  <si>
    <t>Allgemeiner Abzug</t>
  </si>
  <si>
    <t>---</t>
  </si>
  <si>
    <t>Kinderabzug</t>
  </si>
  <si>
    <t>Vermögen</t>
  </si>
  <si>
    <t>Steuerbares Vermögen:</t>
  </si>
  <si>
    <t>Stufe</t>
  </si>
  <si>
    <t>Betrag/Stufe</t>
  </si>
  <si>
    <t>Steuerbares Einkommen:</t>
  </si>
  <si>
    <t>Einfacher Steuerbetrag:</t>
  </si>
  <si>
    <t>Alleinstehende:</t>
  </si>
  <si>
    <t>Verheiratete:</t>
  </si>
  <si>
    <t>Steuer pro Jahr:</t>
  </si>
  <si>
    <t>Verheiratet:</t>
  </si>
  <si>
    <t>BE</t>
  </si>
  <si>
    <t>ohne Gewähr</t>
  </si>
  <si>
    <t>Steuertarife</t>
  </si>
  <si>
    <t>Basis Abzug besch. Eink.:</t>
  </si>
  <si>
    <t>Abzug besch. Eink. all'sth.:</t>
  </si>
  <si>
    <t>Abzug besch. Eink. verh.:</t>
  </si>
  <si>
    <t>Versicherungsabzug hoch</t>
  </si>
  <si>
    <t>Versicherungsabzug gewöhnlich</t>
  </si>
  <si>
    <t>ZH</t>
  </si>
  <si>
    <t>Altersgrenze</t>
  </si>
  <si>
    <t>Alleinstehend</t>
  </si>
  <si>
    <t>Steuertarif mit Kindern</t>
  </si>
  <si>
    <t>Verheiratet</t>
  </si>
  <si>
    <t>Kinderzulage jüngere Kinder</t>
  </si>
  <si>
    <t>Kinderzulage ältere Kinder</t>
  </si>
  <si>
    <t>Verheiratetenabzug</t>
  </si>
  <si>
    <t>Abzug für auswärtige Ausbildung Kinder</t>
  </si>
  <si>
    <t>Sozialabzüge</t>
  </si>
  <si>
    <t>Abzüge Einkommenssteuer</t>
  </si>
  <si>
    <t>Abzüge Vermögenssteuer</t>
  </si>
  <si>
    <t>Weiterer Abzug 1</t>
  </si>
  <si>
    <t>Zuschlag ab bestimmter Anzahl Kinder</t>
  </si>
  <si>
    <t>Wohngemeinschaft</t>
  </si>
  <si>
    <t>Mindestanzahl Kinder für Zuschlag</t>
  </si>
  <si>
    <t>Prozent</t>
  </si>
  <si>
    <t>Maximum</t>
  </si>
  <si>
    <t>Limite Abzug pro Kind</t>
  </si>
  <si>
    <t>Minimum</t>
  </si>
  <si>
    <t>Richtlinien Existenzminimum</t>
  </si>
  <si>
    <t>Auswärtiges Essen pro Hauptmahlzeit</t>
  </si>
  <si>
    <t>Grundlagen</t>
  </si>
  <si>
    <t>Auswärtiges Essen Abzug maximal pro Jahr</t>
  </si>
  <si>
    <t>Teilpauschalen Berufsauslagen Nebenerwerb</t>
  </si>
  <si>
    <t>Teilpauschale Berufsauslagen</t>
  </si>
  <si>
    <t>Einzelperson</t>
  </si>
  <si>
    <t>Ehepaar</t>
  </si>
  <si>
    <t>Steueranlage/Steuerfuss</t>
  </si>
  <si>
    <t>Alleinerziehend</t>
  </si>
  <si>
    <t>n</t>
  </si>
  <si>
    <t>Wohngemeinschaft und Erziehungspflichten</t>
  </si>
  <si>
    <t>Zuschlag Kinder &gt;12</t>
  </si>
  <si>
    <t>Zusätzliche Pauschale Telecom/Mobiliarversicherung</t>
  </si>
  <si>
    <t>AG</t>
  </si>
  <si>
    <t>Tarif wie Alleinstehende</t>
  </si>
  <si>
    <t>SO</t>
  </si>
  <si>
    <t>Personalsteuer Kanton (Franken)</t>
  </si>
  <si>
    <t>Personalsteuer Gemeinde (Franken)</t>
  </si>
  <si>
    <t>Kanton Solothurn</t>
  </si>
  <si>
    <t>SG</t>
  </si>
  <si>
    <t>Kanton St. Gallen</t>
  </si>
  <si>
    <t>Sprache/langue (d/f):</t>
  </si>
  <si>
    <t>Kanton Aargau</t>
  </si>
  <si>
    <t>Kanton Bern</t>
  </si>
  <si>
    <t>BL</t>
  </si>
  <si>
    <t>Übergangstarif nach Trennung (max. Anz. Jahre)</t>
  </si>
  <si>
    <t>Kanton Basel-Landschaft</t>
  </si>
  <si>
    <t>Satz/Stufe</t>
  </si>
  <si>
    <t>Steuerbetrag</t>
  </si>
  <si>
    <t>Ohne Gewähr</t>
  </si>
  <si>
    <t>BS</t>
  </si>
  <si>
    <t>Kanton Basel-Stadt</t>
  </si>
  <si>
    <t>FR</t>
  </si>
  <si>
    <t>Kanton Freiburg</t>
  </si>
  <si>
    <t>Abzug besch. Eink. U'halt:</t>
  </si>
  <si>
    <t>Kirchen Einkommen Mittel alleinstehend</t>
  </si>
  <si>
    <t>Kirchen Einkommen Mittel verheiratet/mit Kindern</t>
  </si>
  <si>
    <t>Kirchen Vermögen Mittel alleinstehend</t>
  </si>
  <si>
    <t>Kirchen Vermögen Mittel verheiratet/mit Kindern</t>
  </si>
  <si>
    <t>LU</t>
  </si>
  <si>
    <t>Ausbildungszulage</t>
  </si>
  <si>
    <t>Kinder</t>
  </si>
  <si>
    <t>Kinder in Obhut total</t>
  </si>
  <si>
    <t>davon unter 12</t>
  </si>
  <si>
    <t>Kanton Luzern</t>
  </si>
  <si>
    <t>Div. stb. Einkommen</t>
  </si>
  <si>
    <t>Divisor:</t>
  </si>
  <si>
    <t>zum dividierten steuerbaren Einkommen</t>
  </si>
  <si>
    <t>Versicherungsabzug Kinder</t>
  </si>
  <si>
    <t>Zuschlag Kinder maximal</t>
  </si>
  <si>
    <t>Unterstützungsabzug</t>
  </si>
  <si>
    <t>Korrektur:</t>
  </si>
  <si>
    <t>Faktor b</t>
  </si>
  <si>
    <t>Faktor c</t>
  </si>
  <si>
    <t>Faktor d</t>
  </si>
  <si>
    <t>Familienzulagen</t>
  </si>
  <si>
    <t>Zuschlag Kinder 0-5</t>
  </si>
  <si>
    <t>Zuschlag Kinder 6-9</t>
  </si>
  <si>
    <t>Zuschlag Kinder 10-11</t>
  </si>
  <si>
    <t>davon unter 14</t>
  </si>
  <si>
    <t>Abzug für Drittbetreuung von Kindern</t>
  </si>
  <si>
    <t>Basis Abzug kl./mi. Eink.:</t>
  </si>
  <si>
    <t>Abzug kl./mi. Eink. all'sth.:</t>
  </si>
  <si>
    <t>Abzug kl./mi. Eink. verh.:</t>
  </si>
  <si>
    <t>Abzug vom Steuerbetrag pro Kind Elterntarif</t>
  </si>
  <si>
    <t>Arbeitswegkosten Abzug maximal pro Jahr</t>
  </si>
  <si>
    <t>BGer/TF 5A_210/2008</t>
  </si>
  <si>
    <t>BGer/TF 5A_899/2012</t>
  </si>
  <si>
    <t>aktuell/à présent</t>
  </si>
  <si>
    <t>d</t>
  </si>
  <si>
    <t>j</t>
  </si>
  <si>
    <t>AR</t>
  </si>
  <si>
    <t>Berufskosten Vollpauschale n2</t>
  </si>
  <si>
    <t>Berufskosten Vollpauschale n1</t>
  </si>
  <si>
    <t>Berufskosten effektiv n2</t>
  </si>
  <si>
    <t>Berufskosten effektiv n1</t>
  </si>
  <si>
    <t>Berufsauslagen Nebenerwerb n2</t>
  </si>
  <si>
    <t>Berufsauslagen Nebenerwerb n1</t>
  </si>
  <si>
    <t>Versicherungsabzug gewöhnlich n2</t>
  </si>
  <si>
    <t>Versicherungsabzug gewöhnlich n1</t>
  </si>
  <si>
    <t>Versicherungsabzug Kinder n2</t>
  </si>
  <si>
    <t>Abzug alleinstehend mit eigenem Haushalt n2</t>
  </si>
  <si>
    <t>Weiterer Sozialabzug 1 n2</t>
  </si>
  <si>
    <t>Weiterer Sozialabzug 2 n2</t>
  </si>
  <si>
    <t>Weiterer Sozialabzug 3 n2</t>
  </si>
  <si>
    <t>Weiterer Sozialabzug 4 n2</t>
  </si>
  <si>
    <t>Versicherungsabzug hoch n2</t>
  </si>
  <si>
    <t>Abzug Drittbetreuung n2</t>
  </si>
  <si>
    <t>Abzug all'stehend mit eig. Haushalt und Kindern n2</t>
  </si>
  <si>
    <t>Abzug all'stehend mit eig. Haushalt und Kindern n1</t>
  </si>
  <si>
    <t>Weiterer Sozialabzug 1 n1</t>
  </si>
  <si>
    <t>Weiterer Sozialabzug 2 n1</t>
  </si>
  <si>
    <t>Weiterer Sozialabzug 3 n1</t>
  </si>
  <si>
    <t>Weiterer Sozialabzug 4 n1</t>
  </si>
  <si>
    <t>Versicherungsabzug hoch n1</t>
  </si>
  <si>
    <t>Versicherungsabzug Kinder n1</t>
  </si>
  <si>
    <t>Abzug Drittbetreuung n1</t>
  </si>
  <si>
    <t>Einfacher Steuerbetrag Einkommenssteuer n1</t>
  </si>
  <si>
    <t>Abzug vom Steuerbetrag 1 n1</t>
  </si>
  <si>
    <t>Abzug vom Steuerbetrag 2 n1</t>
  </si>
  <si>
    <t>Weiterer Abzug 2 n1</t>
  </si>
  <si>
    <t>Einfacher Steuerbetrag Vermögenssteuer n1</t>
  </si>
  <si>
    <t>Weiterer Abzug 2 n2</t>
  </si>
  <si>
    <t>Einfacher Steuerbetrag Vermögenssteuer n2</t>
  </si>
  <si>
    <t>Abzug vom Steuerbetrag 1 n2</t>
  </si>
  <si>
    <t>Abzug vom Steuerbetrag 2 n2</t>
  </si>
  <si>
    <t>Einfacher Steuerbetrag Einkommenssteuer n2</t>
  </si>
  <si>
    <t>Abzug alleinstehend mit eigenem Haushalt n1</t>
  </si>
  <si>
    <t>Abzug besch. Eink.</t>
  </si>
  <si>
    <t>Abzug bescheidene Einkommen (StG-AG 42 I bis)</t>
  </si>
  <si>
    <t>Abzug kleine und mittlere Einkommen (StG-BE 40 VI)</t>
  </si>
  <si>
    <t>Abzug bescheidene Einkommen (StG-FR 36 II)</t>
  </si>
  <si>
    <t>Sozialabzug (StG-FR 61)</t>
  </si>
  <si>
    <t>Vermögen (ohne Vermögenssteuerbremse StG-BE 66)</t>
  </si>
  <si>
    <t>Verminderung Kinderabzug unter "weiterer Sozialabzug 2"</t>
  </si>
  <si>
    <t>Grenze</t>
  </si>
  <si>
    <t>Verminderung</t>
  </si>
  <si>
    <t>© berechnungsblaetter.ch 10.25</t>
  </si>
  <si>
    <t>n1</t>
  </si>
  <si>
    <t>n2</t>
  </si>
  <si>
    <t>Direkte Bundessteuer (Tarif 2025)</t>
  </si>
  <si>
    <t>Tarif 2025</t>
  </si>
  <si>
    <t>Kanton Zürich</t>
  </si>
  <si>
    <t>Div. stb. Einkommen:</t>
  </si>
  <si>
    <t>davon unter 7</t>
  </si>
  <si>
    <t>Abzug bescheidene Einkommen (StG-LU 42 I Bst. e, f)</t>
  </si>
  <si>
    <t>Limite</t>
  </si>
  <si>
    <t>Satz</t>
  </si>
  <si>
    <t>Kanton Einkommen</t>
  </si>
  <si>
    <t>Kanton Vermögen</t>
  </si>
  <si>
    <t>Gemeinden Einkommen Mittel</t>
  </si>
  <si>
    <t>Gemeinden Vermögen Mittel</t>
  </si>
  <si>
    <t>Rentnerabzug:</t>
  </si>
  <si>
    <t>Schwellenwert</t>
  </si>
  <si>
    <t>Differenz</t>
  </si>
  <si>
    <t>Abzug</t>
  </si>
  <si>
    <t>Abstufung</t>
  </si>
  <si>
    <t>Daniel Bähler und Annette Spycher</t>
  </si>
  <si>
    <t>Martin und Franziska</t>
  </si>
  <si>
    <t>Martin</t>
  </si>
  <si>
    <t>Franziska</t>
  </si>
  <si>
    <t>Tanja</t>
  </si>
  <si>
    <t>Sandro</t>
  </si>
  <si>
    <t/>
  </si>
  <si>
    <t>Eingeben!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</si>
</sst>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
    <numFmt numFmtId="165" formatCode="0.0000"/>
    <numFmt numFmtId="166" formatCode="0.0"/>
    <numFmt numFmtId="167" formatCode=";;;"/>
    <numFmt numFmtId="168" formatCode="0.000"/>
    <numFmt numFmtId="169" formatCode="0.0000%"/>
    <numFmt numFmtId="170" formatCode="0.0%"/>
    <numFmt numFmtId="171" formatCode="#,##0.000"/>
    <numFmt numFmtId="172" formatCode="0.000000"/>
    <numFmt numFmtId="173" formatCode="#,##0.0000"/>
  </numFmts>
  <fonts count="37" x14ac:knownFonts="1">
    <font>
      <sz val="10"/>
      <name val="Arial"/>
    </font>
    <font>
      <b/>
      <sz val="10"/>
      <name val="Arial"/>
      <family val="2"/>
    </font>
    <font>
      <i/>
      <sz val="10"/>
      <name val="Arial"/>
      <family val="2"/>
    </font>
    <font>
      <b/>
      <i/>
      <sz val="10"/>
      <name val="Arial"/>
      <family val="2"/>
    </font>
    <font>
      <sz val="10"/>
      <name val="Arial"/>
      <family val="2"/>
    </font>
    <font>
      <sz val="10"/>
      <name val="Arial"/>
      <family val="2"/>
    </font>
    <font>
      <i/>
      <sz val="10"/>
      <name val="Arial"/>
      <family val="2"/>
    </font>
    <font>
      <b/>
      <i/>
      <sz val="10"/>
      <name val="Arial"/>
      <family val="2"/>
    </font>
    <font>
      <b/>
      <sz val="12"/>
      <name val="Arial"/>
      <family val="2"/>
    </font>
    <font>
      <sz val="6"/>
      <name val="Arial"/>
      <family val="2"/>
    </font>
    <font>
      <b/>
      <sz val="14"/>
      <name val="Arial"/>
      <family val="2"/>
    </font>
    <font>
      <sz val="10"/>
      <name val="MS Sans Serif"/>
      <family val="2"/>
    </font>
    <font>
      <sz val="10"/>
      <color indexed="12"/>
      <name val="Arial"/>
      <family val="2"/>
    </font>
    <font>
      <u/>
      <sz val="10"/>
      <color indexed="12"/>
      <name val="Arial"/>
      <family val="2"/>
    </font>
    <font>
      <b/>
      <sz val="10"/>
      <name val="Arial"/>
      <family val="2"/>
    </font>
    <font>
      <sz val="8"/>
      <name val="Arial"/>
      <family val="2"/>
    </font>
    <font>
      <b/>
      <sz val="11"/>
      <name val="Arial"/>
      <family val="2"/>
    </font>
    <font>
      <u/>
      <sz val="10"/>
      <name val="Arial"/>
      <family val="2"/>
    </font>
    <font>
      <sz val="10"/>
      <color indexed="10"/>
      <name val="Arial"/>
      <family val="2"/>
    </font>
    <font>
      <sz val="8"/>
      <color indexed="81"/>
      <name val="Tahoma"/>
      <family val="2"/>
    </font>
    <font>
      <sz val="9"/>
      <color indexed="81"/>
      <name val="Arial"/>
      <family val="2"/>
    </font>
    <font>
      <b/>
      <sz val="9"/>
      <color indexed="81"/>
      <name val="Arial"/>
      <family val="2"/>
    </font>
    <font>
      <i/>
      <sz val="9"/>
      <color indexed="81"/>
      <name val="Arial"/>
      <family val="2"/>
    </font>
    <font>
      <sz val="6"/>
      <color indexed="12"/>
      <name val="Arial"/>
      <family val="2"/>
    </font>
    <font>
      <b/>
      <sz val="10"/>
      <color indexed="10"/>
      <name val="Arial"/>
      <family val="2"/>
    </font>
    <font>
      <sz val="9"/>
      <name val="Arial"/>
      <family val="2"/>
    </font>
    <font>
      <sz val="10"/>
      <color indexed="10"/>
      <name val="Arial"/>
      <family val="2"/>
    </font>
    <font>
      <sz val="7"/>
      <color indexed="12"/>
      <name val="Arial"/>
      <family val="2"/>
    </font>
    <font>
      <b/>
      <sz val="11"/>
      <color indexed="8"/>
      <name val="Arial"/>
      <family val="2"/>
    </font>
    <font>
      <sz val="8"/>
      <name val="Arial"/>
      <family val="2"/>
    </font>
    <font>
      <sz val="9"/>
      <color indexed="81"/>
      <name val="Tahoma"/>
      <family val="2"/>
    </font>
    <font>
      <sz val="10"/>
      <color rgb="FF000000"/>
      <name val="Arial"/>
      <family val="1"/>
    </font>
    <font>
      <sz val="11"/>
      <color theme="1"/>
      <name val="Calibri"/>
      <family val="2"/>
      <scheme val="minor"/>
    </font>
    <font>
      <sz val="10"/>
      <color rgb="FF006100"/>
      <name val="Arial"/>
      <family val="2"/>
    </font>
    <font>
      <sz val="10"/>
      <color rgb="FFFF0000"/>
      <name val="Arial"/>
      <family val="2"/>
    </font>
    <font>
      <sz val="10"/>
      <name val="Arial"/>
      <family val="2"/>
    </font>
    <font>
      <sz val="9"/>
      <color indexed="81"/>
      <name val="Segoe UI"/>
      <family val="2"/>
    </font>
  </fonts>
  <fills count="12">
    <fill>
      <patternFill patternType="none"/>
    </fill>
    <fill>
      <patternFill patternType="gray125"/>
    </fill>
    <fill>
      <patternFill patternType="solid">
        <fgColor indexed="2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rgb="FFCCFFCC"/>
        <bgColor indexed="64"/>
      </patternFill>
    </fill>
    <fill>
      <patternFill patternType="solid">
        <fgColor rgb="FFFFFFCC"/>
        <bgColor indexed="64"/>
      </patternFill>
    </fill>
    <fill>
      <patternFill patternType="solid">
        <fgColor rgb="FFC6EFCE"/>
      </patternFill>
    </fill>
    <fill>
      <patternFill patternType="solid">
        <fgColor theme="0"/>
        <bgColor indexed="64"/>
      </patternFill>
    </fill>
    <fill>
      <patternFill patternType="solid">
        <fgColor rgb="FFFFC7CE"/>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s>
  <cellStyleXfs count="9">
    <xf numFmtId="0" fontId="0" fillId="0" borderId="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xf numFmtId="0" fontId="11" fillId="0" borderId="0"/>
    <xf numFmtId="0" fontId="32" fillId="0" borderId="0"/>
    <xf numFmtId="0" fontId="33" fillId="9" borderId="0" applyNumberFormat="0" applyBorder="0" applyAlignment="0" applyProtection="0"/>
    <xf numFmtId="9" fontId="35" fillId="0" borderId="0" applyFont="0" applyFill="0" applyBorder="0" applyAlignment="0" applyProtection="0"/>
    <xf numFmtId="9" fontId="4" fillId="0" borderId="0" applyFont="0" applyFill="0" applyBorder="0" applyAlignment="0" applyProtection="0"/>
  </cellStyleXfs>
  <cellXfs count="359">
    <xf numFmtId="0" fontId="0" fillId="0" borderId="0" xfId="0"/>
    <xf numFmtId="0" fontId="5" fillId="0" borderId="0" xfId="0" applyFont="1"/>
    <xf numFmtId="0" fontId="6" fillId="0" borderId="0" xfId="0" applyFont="1"/>
    <xf numFmtId="0" fontId="7" fillId="0" borderId="0" xfId="0" applyFont="1"/>
    <xf numFmtId="0" fontId="5" fillId="0" borderId="0" xfId="0" applyFont="1" applyAlignment="1">
      <alignment horizontal="right"/>
    </xf>
    <xf numFmtId="1" fontId="5" fillId="0" borderId="0" xfId="0" applyNumberFormat="1" applyFont="1"/>
    <xf numFmtId="0" fontId="1" fillId="0" borderId="0" xfId="0" applyFont="1"/>
    <xf numFmtId="0" fontId="10" fillId="0" borderId="0" xfId="0" applyFont="1"/>
    <xf numFmtId="0" fontId="5" fillId="0" borderId="0" xfId="0" applyFont="1" applyAlignment="1">
      <alignment horizontal="center"/>
    </xf>
    <xf numFmtId="0" fontId="10" fillId="0" borderId="0" xfId="0" applyFont="1" applyAlignment="1">
      <alignment horizontal="center"/>
    </xf>
    <xf numFmtId="0" fontId="5" fillId="0" borderId="0" xfId="0" applyFont="1" applyAlignment="1">
      <alignment horizontal="left"/>
    </xf>
    <xf numFmtId="1" fontId="5" fillId="0" borderId="1" xfId="0" applyNumberFormat="1" applyFont="1" applyBorder="1" applyAlignment="1">
      <alignment horizontal="right"/>
    </xf>
    <xf numFmtId="0" fontId="14" fillId="0" borderId="0" xfId="0" applyFont="1"/>
    <xf numFmtId="4" fontId="0" fillId="0" borderId="0" xfId="0" applyNumberFormat="1"/>
    <xf numFmtId="0" fontId="8" fillId="0" borderId="0" xfId="0" applyFont="1"/>
    <xf numFmtId="4" fontId="0" fillId="0" borderId="0" xfId="0" applyNumberFormat="1" applyAlignment="1">
      <alignment horizontal="right"/>
    </xf>
    <xf numFmtId="4" fontId="14" fillId="0" borderId="0" xfId="0" applyNumberFormat="1" applyFont="1"/>
    <xf numFmtId="0" fontId="15" fillId="0" borderId="0" xfId="0" applyFont="1"/>
    <xf numFmtId="4" fontId="4" fillId="0" borderId="0" xfId="0" applyNumberFormat="1" applyFont="1" applyAlignment="1">
      <alignment horizontal="centerContinuous"/>
    </xf>
    <xf numFmtId="4" fontId="1" fillId="0" borderId="0" xfId="0" applyNumberFormat="1" applyFont="1"/>
    <xf numFmtId="4" fontId="14" fillId="0" borderId="0" xfId="0" applyNumberFormat="1" applyFont="1" applyAlignment="1">
      <alignment horizontal="right"/>
    </xf>
    <xf numFmtId="4" fontId="0" fillId="0" borderId="0" xfId="0" applyNumberFormat="1" applyAlignment="1" applyProtection="1">
      <alignment horizontal="right"/>
      <protection locked="0"/>
    </xf>
    <xf numFmtId="4" fontId="0" fillId="0" borderId="0" xfId="0" applyNumberFormat="1" applyAlignment="1">
      <alignment horizontal="centerContinuous"/>
    </xf>
    <xf numFmtId="0" fontId="6" fillId="0" borderId="0" xfId="0" applyFont="1" applyAlignment="1">
      <alignment horizontal="right"/>
    </xf>
    <xf numFmtId="3" fontId="6" fillId="0" borderId="0" xfId="0" applyNumberFormat="1" applyFont="1" applyAlignment="1">
      <alignment horizontal="right"/>
    </xf>
    <xf numFmtId="0" fontId="16" fillId="0" borderId="0" xfId="0" applyFont="1"/>
    <xf numFmtId="3" fontId="5" fillId="0" borderId="0" xfId="0" applyNumberFormat="1" applyFont="1" applyAlignment="1">
      <alignment horizontal="right"/>
    </xf>
    <xf numFmtId="0" fontId="7" fillId="0" borderId="0" xfId="0" applyFont="1" applyAlignment="1">
      <alignment horizontal="right"/>
    </xf>
    <xf numFmtId="3" fontId="7" fillId="0" borderId="0" xfId="0" applyNumberFormat="1" applyFont="1" applyAlignment="1">
      <alignment horizontal="right"/>
    </xf>
    <xf numFmtId="4" fontId="6" fillId="0" borderId="0" xfId="0" applyNumberFormat="1" applyFont="1" applyAlignment="1">
      <alignment horizontal="right"/>
    </xf>
    <xf numFmtId="4" fontId="5" fillId="0" borderId="0" xfId="0" applyNumberFormat="1" applyFont="1" applyAlignment="1">
      <alignment horizontal="centerContinuous"/>
    </xf>
    <xf numFmtId="4" fontId="5" fillId="0" borderId="0" xfId="0" applyNumberFormat="1" applyFont="1" applyAlignment="1">
      <alignment horizontal="right"/>
    </xf>
    <xf numFmtId="4" fontId="5" fillId="0" borderId="0" xfId="0" applyNumberFormat="1" applyFont="1"/>
    <xf numFmtId="4" fontId="2" fillId="0" borderId="0" xfId="0" applyNumberFormat="1" applyFont="1" applyAlignment="1">
      <alignment horizontal="left"/>
    </xf>
    <xf numFmtId="4" fontId="2" fillId="0" borderId="0" xfId="0" applyNumberFormat="1" applyFont="1"/>
    <xf numFmtId="0" fontId="5" fillId="0" borderId="0" xfId="1" applyFont="1" applyAlignment="1" applyProtection="1"/>
    <xf numFmtId="0" fontId="17" fillId="0" borderId="0" xfId="2" applyFont="1" applyAlignment="1" applyProtection="1">
      <alignment horizontal="right"/>
    </xf>
    <xf numFmtId="3" fontId="14" fillId="0" borderId="0" xfId="0" applyNumberFormat="1" applyFont="1" applyAlignment="1">
      <alignment horizontal="right"/>
    </xf>
    <xf numFmtId="3" fontId="5" fillId="0" borderId="0" xfId="0" applyNumberFormat="1" applyFont="1" applyAlignment="1">
      <alignment horizontal="left"/>
    </xf>
    <xf numFmtId="3" fontId="5" fillId="0" borderId="1" xfId="0" applyNumberFormat="1" applyFont="1" applyBorder="1" applyAlignment="1">
      <alignment horizontal="right"/>
    </xf>
    <xf numFmtId="3" fontId="5" fillId="2" borderId="1" xfId="0" applyNumberFormat="1" applyFont="1" applyFill="1" applyBorder="1" applyAlignment="1">
      <alignment horizontal="right"/>
    </xf>
    <xf numFmtId="3" fontId="5" fillId="0" borderId="2" xfId="0" applyNumberFormat="1" applyFont="1" applyBorder="1" applyAlignment="1">
      <alignment horizontal="right"/>
    </xf>
    <xf numFmtId="0" fontId="9" fillId="0" borderId="0" xfId="4" applyFont="1" applyAlignment="1">
      <alignment horizontal="right"/>
    </xf>
    <xf numFmtId="1" fontId="3" fillId="0" borderId="0" xfId="0" applyNumberFormat="1" applyFont="1" applyAlignment="1">
      <alignment horizontal="left"/>
    </xf>
    <xf numFmtId="1" fontId="6" fillId="0" borderId="0" xfId="0" applyNumberFormat="1" applyFont="1" applyAlignment="1">
      <alignment horizontal="center"/>
    </xf>
    <xf numFmtId="0" fontId="2" fillId="0" borderId="0" xfId="0" applyFont="1" applyAlignment="1">
      <alignment horizontal="center"/>
    </xf>
    <xf numFmtId="1" fontId="5" fillId="0" borderId="0" xfId="0" applyNumberFormat="1" applyFont="1" applyAlignment="1">
      <alignment horizontal="center"/>
    </xf>
    <xf numFmtId="0" fontId="0" fillId="0" borderId="0" xfId="0" applyAlignment="1">
      <alignment horizontal="center"/>
    </xf>
    <xf numFmtId="167" fontId="4" fillId="0" borderId="0" xfId="0" applyNumberFormat="1" applyFont="1"/>
    <xf numFmtId="1" fontId="6" fillId="0" borderId="0" xfId="0" applyNumberFormat="1" applyFont="1" applyAlignment="1">
      <alignment horizontal="right"/>
    </xf>
    <xf numFmtId="164" fontId="6" fillId="0" borderId="0" xfId="0" applyNumberFormat="1" applyFont="1"/>
    <xf numFmtId="164" fontId="5" fillId="0" borderId="0" xfId="0" applyNumberFormat="1" applyFont="1"/>
    <xf numFmtId="1" fontId="3" fillId="0" borderId="0" xfId="0" applyNumberFormat="1" applyFont="1" applyAlignment="1">
      <alignment horizontal="right"/>
    </xf>
    <xf numFmtId="1" fontId="8" fillId="0" borderId="0" xfId="0" applyNumberFormat="1" applyFont="1" applyAlignment="1">
      <alignment horizontal="center"/>
    </xf>
    <xf numFmtId="0" fontId="6" fillId="0" borderId="0" xfId="0" applyFont="1" applyAlignment="1">
      <alignment horizontal="center"/>
    </xf>
    <xf numFmtId="1" fontId="4" fillId="0" borderId="1" xfId="0" applyNumberFormat="1" applyFont="1" applyBorder="1" applyAlignment="1">
      <alignment horizontal="right"/>
    </xf>
    <xf numFmtId="1" fontId="8" fillId="0" borderId="0" xfId="0" applyNumberFormat="1" applyFont="1"/>
    <xf numFmtId="1" fontId="6" fillId="0" borderId="0" xfId="0" applyNumberFormat="1" applyFont="1"/>
    <xf numFmtId="1" fontId="3" fillId="0" borderId="0" xfId="0" applyNumberFormat="1" applyFont="1" applyAlignment="1">
      <alignment horizontal="center"/>
    </xf>
    <xf numFmtId="0" fontId="2" fillId="0" borderId="0" xfId="0" applyFont="1"/>
    <xf numFmtId="1" fontId="2" fillId="0" borderId="0" xfId="0" applyNumberFormat="1" applyFont="1" applyAlignment="1">
      <alignment horizontal="center"/>
    </xf>
    <xf numFmtId="3" fontId="5" fillId="2" borderId="1" xfId="0" quotePrefix="1" applyNumberFormat="1" applyFont="1" applyFill="1" applyBorder="1" applyAlignment="1">
      <alignment horizontal="right"/>
    </xf>
    <xf numFmtId="1" fontId="6" fillId="3" borderId="3" xfId="0" applyNumberFormat="1" applyFont="1" applyFill="1" applyBorder="1" applyAlignment="1">
      <alignment horizontal="right"/>
    </xf>
    <xf numFmtId="1" fontId="5" fillId="3" borderId="1" xfId="0" applyNumberFormat="1" applyFont="1" applyFill="1" applyBorder="1" applyAlignment="1">
      <alignment horizontal="right"/>
    </xf>
    <xf numFmtId="1" fontId="3" fillId="3" borderId="3" xfId="0" applyNumberFormat="1" applyFont="1" applyFill="1" applyBorder="1" applyAlignment="1">
      <alignment horizontal="right"/>
    </xf>
    <xf numFmtId="1" fontId="2" fillId="3" borderId="1" xfId="0" applyNumberFormat="1" applyFont="1" applyFill="1" applyBorder="1" applyAlignment="1">
      <alignment horizontal="right"/>
    </xf>
    <xf numFmtId="1" fontId="3" fillId="3" borderId="1" xfId="0" applyNumberFormat="1" applyFont="1" applyFill="1" applyBorder="1" applyAlignment="1">
      <alignment horizontal="right"/>
    </xf>
    <xf numFmtId="1" fontId="18" fillId="0" borderId="1" xfId="0" applyNumberFormat="1" applyFont="1" applyBorder="1" applyAlignment="1">
      <alignment horizontal="right"/>
    </xf>
    <xf numFmtId="3" fontId="5" fillId="4" borderId="0" xfId="0" applyNumberFormat="1" applyFont="1" applyFill="1" applyAlignment="1">
      <alignment horizontal="left"/>
    </xf>
    <xf numFmtId="3" fontId="18" fillId="0" borderId="1" xfId="0" applyNumberFormat="1" applyFont="1" applyBorder="1" applyAlignment="1">
      <alignment horizontal="right"/>
    </xf>
    <xf numFmtId="3" fontId="6" fillId="3" borderId="3" xfId="0" applyNumberFormat="1" applyFont="1" applyFill="1" applyBorder="1" applyAlignment="1">
      <alignment horizontal="right"/>
    </xf>
    <xf numFmtId="3" fontId="6" fillId="3" borderId="1" xfId="0" applyNumberFormat="1" applyFont="1" applyFill="1" applyBorder="1" applyAlignment="1">
      <alignment horizontal="right"/>
    </xf>
    <xf numFmtId="3" fontId="7" fillId="3" borderId="3" xfId="0" applyNumberFormat="1"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4" fontId="5" fillId="4" borderId="0" xfId="0" applyNumberFormat="1" applyFont="1" applyFill="1" applyAlignment="1" applyProtection="1">
      <alignment horizontal="right"/>
      <protection locked="0"/>
    </xf>
    <xf numFmtId="4" fontId="14" fillId="4" borderId="0" xfId="0" applyNumberFormat="1" applyFont="1" applyFill="1" applyAlignment="1" applyProtection="1">
      <alignment horizontal="right"/>
      <protection locked="0"/>
    </xf>
    <xf numFmtId="3" fontId="18" fillId="4" borderId="0" xfId="0" applyNumberFormat="1" applyFont="1" applyFill="1" applyAlignment="1" applyProtection="1">
      <alignment horizontal="left"/>
      <protection locked="0"/>
    </xf>
    <xf numFmtId="3" fontId="5" fillId="4" borderId="0" xfId="0" applyNumberFormat="1" applyFont="1" applyFill="1" applyAlignment="1" applyProtection="1">
      <alignment horizontal="left"/>
      <protection locked="0"/>
    </xf>
    <xf numFmtId="3" fontId="5" fillId="0" borderId="0" xfId="0" applyNumberFormat="1" applyFont="1" applyAlignment="1" applyProtection="1">
      <alignment horizontal="left"/>
      <protection locked="0"/>
    </xf>
    <xf numFmtId="0" fontId="1" fillId="0" borderId="0" xfId="0" applyFont="1" applyProtection="1">
      <protection locked="0"/>
    </xf>
    <xf numFmtId="0" fontId="5" fillId="0" borderId="0" xfId="0" applyFont="1" applyProtection="1">
      <protection locked="0"/>
    </xf>
    <xf numFmtId="0" fontId="8" fillId="0" borderId="0" xfId="0" applyFont="1" applyProtection="1">
      <protection locked="0"/>
    </xf>
    <xf numFmtId="0" fontId="14" fillId="0" borderId="0" xfId="0" applyFont="1" applyProtection="1">
      <protection locked="0"/>
    </xf>
    <xf numFmtId="3" fontId="18" fillId="4" borderId="0" xfId="0" applyNumberFormat="1" applyFont="1" applyFill="1" applyAlignment="1">
      <alignment horizontal="left"/>
    </xf>
    <xf numFmtId="0" fontId="4" fillId="0" borderId="0" xfId="0" applyFont="1"/>
    <xf numFmtId="0" fontId="6" fillId="0" borderId="0" xfId="4" applyFont="1"/>
    <xf numFmtId="1" fontId="4" fillId="0" borderId="0" xfId="4" applyNumberFormat="1" applyFont="1"/>
    <xf numFmtId="1" fontId="4" fillId="3" borderId="1" xfId="4" applyNumberFormat="1" applyFont="1" applyFill="1" applyBorder="1" applyAlignment="1">
      <alignment horizontal="right"/>
    </xf>
    <xf numFmtId="1" fontId="6" fillId="0" borderId="0" xfId="4" applyNumberFormat="1" applyFont="1" applyAlignment="1">
      <alignment horizontal="right"/>
    </xf>
    <xf numFmtId="0" fontId="5" fillId="0" borderId="0" xfId="4" applyFont="1"/>
    <xf numFmtId="1" fontId="2" fillId="0" borderId="0" xfId="4" applyNumberFormat="1" applyFont="1"/>
    <xf numFmtId="1" fontId="6" fillId="3" borderId="4" xfId="4" applyNumberFormat="1" applyFont="1" applyFill="1" applyBorder="1" applyAlignment="1">
      <alignment horizontal="right"/>
    </xf>
    <xf numFmtId="1" fontId="5" fillId="3" borderId="1" xfId="4" applyNumberFormat="1" applyFont="1" applyFill="1" applyBorder="1" applyAlignment="1">
      <alignment horizontal="right"/>
    </xf>
    <xf numFmtId="3" fontId="5" fillId="0" borderId="0" xfId="0" applyNumberFormat="1" applyFont="1"/>
    <xf numFmtId="3" fontId="18" fillId="0" borderId="0" xfId="0" applyNumberFormat="1" applyFont="1" applyAlignment="1">
      <alignment horizontal="left"/>
    </xf>
    <xf numFmtId="1" fontId="5" fillId="3" borderId="0" xfId="0" applyNumberFormat="1" applyFont="1" applyFill="1" applyAlignment="1">
      <alignment horizontal="center"/>
    </xf>
    <xf numFmtId="1" fontId="5" fillId="4" borderId="0" xfId="0" applyNumberFormat="1" applyFont="1" applyFill="1" applyAlignment="1">
      <alignment horizontal="center"/>
    </xf>
    <xf numFmtId="4" fontId="14" fillId="3" borderId="0" xfId="0" applyNumberFormat="1" applyFont="1" applyFill="1" applyAlignment="1">
      <alignment horizontal="right"/>
    </xf>
    <xf numFmtId="0" fontId="23" fillId="0" borderId="0" xfId="1" applyFont="1" applyAlignment="1" applyProtection="1">
      <alignment horizontal="right"/>
    </xf>
    <xf numFmtId="14" fontId="5" fillId="0" borderId="0" xfId="0" applyNumberFormat="1" applyFont="1" applyAlignment="1">
      <alignment horizontal="left"/>
    </xf>
    <xf numFmtId="2" fontId="0" fillId="0" borderId="0" xfId="0" applyNumberFormat="1"/>
    <xf numFmtId="0" fontId="14" fillId="0" borderId="0" xfId="0" applyFont="1" applyAlignment="1">
      <alignment horizontal="left"/>
    </xf>
    <xf numFmtId="0" fontId="14" fillId="0" borderId="0" xfId="0" applyFont="1" applyAlignment="1">
      <alignment horizontal="right"/>
    </xf>
    <xf numFmtId="0" fontId="14" fillId="0" borderId="5" xfId="0" applyFont="1" applyBorder="1" applyAlignment="1">
      <alignment horizontal="right"/>
    </xf>
    <xf numFmtId="0" fontId="0" fillId="0" borderId="5" xfId="0" applyBorder="1" applyAlignment="1">
      <alignment horizontal="right"/>
    </xf>
    <xf numFmtId="49" fontId="0" fillId="0" borderId="0" xfId="0" applyNumberFormat="1" applyAlignment="1">
      <alignment horizontal="right"/>
    </xf>
    <xf numFmtId="0" fontId="8" fillId="0" borderId="0" xfId="0" applyFont="1" applyAlignment="1" applyProtection="1">
      <alignment horizontal="center"/>
      <protection locked="0"/>
    </xf>
    <xf numFmtId="0" fontId="14" fillId="0" borderId="0" xfId="0" applyFont="1" applyAlignment="1" applyProtection="1">
      <alignment horizontal="center"/>
      <protection locked="0"/>
    </xf>
    <xf numFmtId="0" fontId="10" fillId="0" borderId="0" xfId="0" applyFont="1" applyProtection="1">
      <protection locked="0"/>
    </xf>
    <xf numFmtId="3" fontId="5" fillId="4" borderId="1" xfId="0" applyNumberFormat="1" applyFont="1" applyFill="1" applyBorder="1" applyAlignment="1">
      <alignment horizontal="right"/>
    </xf>
    <xf numFmtId="0" fontId="18" fillId="0" borderId="0" xfId="0" applyFont="1"/>
    <xf numFmtId="0" fontId="24" fillId="0" borderId="0" xfId="0" applyFont="1"/>
    <xf numFmtId="0" fontId="18" fillId="0" borderId="5" xfId="0" applyFont="1" applyBorder="1" applyAlignment="1">
      <alignment horizontal="right"/>
    </xf>
    <xf numFmtId="49" fontId="18" fillId="0" borderId="5" xfId="0" applyNumberFormat="1" applyFont="1" applyBorder="1" applyAlignment="1">
      <alignment horizontal="right"/>
    </xf>
    <xf numFmtId="1" fontId="0" fillId="0" borderId="0" xfId="0" applyNumberFormat="1" applyAlignment="1">
      <alignment horizontal="right"/>
    </xf>
    <xf numFmtId="1" fontId="0" fillId="0" borderId="0" xfId="0" applyNumberFormat="1"/>
    <xf numFmtId="1" fontId="14" fillId="0" borderId="0" xfId="0" applyNumberFormat="1" applyFont="1" applyAlignment="1">
      <alignment horizontal="right"/>
    </xf>
    <xf numFmtId="1" fontId="18" fillId="0" borderId="0" xfId="0" applyNumberFormat="1" applyFont="1" applyAlignment="1">
      <alignment horizontal="right"/>
    </xf>
    <xf numFmtId="14" fontId="5" fillId="0" borderId="0" xfId="0" applyNumberFormat="1" applyFont="1"/>
    <xf numFmtId="49" fontId="5" fillId="0" borderId="1" xfId="0" applyNumberFormat="1" applyFont="1" applyBorder="1" applyAlignment="1">
      <alignment horizontal="right"/>
    </xf>
    <xf numFmtId="0" fontId="5" fillId="0" borderId="0" xfId="0" applyFont="1" applyAlignment="1">
      <alignment horizontal="center" wrapText="1"/>
    </xf>
    <xf numFmtId="0" fontId="5" fillId="0" borderId="0" xfId="1" applyFont="1" applyAlignment="1" applyProtection="1">
      <alignment horizontal="center" wrapText="1"/>
    </xf>
    <xf numFmtId="1" fontId="5" fillId="0" borderId="0" xfId="4" applyNumberFormat="1" applyFont="1" applyAlignment="1">
      <alignment horizontal="center" vertical="top" wrapText="1"/>
    </xf>
    <xf numFmtId="1" fontId="5" fillId="0" borderId="0" xfId="0" applyNumberFormat="1" applyFont="1" applyAlignment="1">
      <alignment horizontal="center" wrapText="1"/>
    </xf>
    <xf numFmtId="0" fontId="0" fillId="0" borderId="0" xfId="0" applyAlignment="1">
      <alignment horizontal="center" wrapText="1"/>
    </xf>
    <xf numFmtId="167" fontId="5" fillId="0" borderId="0" xfId="0" applyNumberFormat="1" applyFont="1"/>
    <xf numFmtId="166" fontId="5" fillId="0" borderId="0" xfId="0" applyNumberFormat="1" applyFont="1"/>
    <xf numFmtId="0" fontId="5" fillId="0" borderId="0" xfId="4" applyFont="1" applyAlignment="1">
      <alignment horizontal="left"/>
    </xf>
    <xf numFmtId="0" fontId="18" fillId="4" borderId="1" xfId="0" applyFont="1" applyFill="1" applyBorder="1" applyAlignment="1">
      <alignment horizontal="right"/>
    </xf>
    <xf numFmtId="0" fontId="18" fillId="3" borderId="1" xfId="0" applyFont="1" applyFill="1" applyBorder="1"/>
    <xf numFmtId="1" fontId="4" fillId="0" borderId="6" xfId="0" applyNumberFormat="1" applyFont="1" applyBorder="1" applyAlignment="1">
      <alignment horizontal="right"/>
    </xf>
    <xf numFmtId="4" fontId="0" fillId="3" borderId="0" xfId="0" applyNumberFormat="1" applyFill="1" applyAlignment="1">
      <alignment horizontal="right"/>
    </xf>
    <xf numFmtId="0" fontId="10" fillId="4" borderId="0" xfId="0" applyFont="1" applyFill="1"/>
    <xf numFmtId="0" fontId="8" fillId="0" borderId="0" xfId="0" applyFont="1" applyAlignment="1">
      <alignment horizontal="right"/>
    </xf>
    <xf numFmtId="0" fontId="8" fillId="0" borderId="0" xfId="2" applyFont="1" applyAlignment="1" applyProtection="1">
      <alignment horizontal="left"/>
    </xf>
    <xf numFmtId="4" fontId="5" fillId="0" borderId="0" xfId="0" applyNumberFormat="1" applyFont="1" applyAlignment="1">
      <alignment horizontal="left"/>
    </xf>
    <xf numFmtId="4" fontId="5" fillId="0" borderId="0" xfId="0" applyNumberFormat="1" applyFont="1" applyAlignment="1">
      <alignment horizontal="right" vertical="top" wrapText="1"/>
    </xf>
    <xf numFmtId="0" fontId="5" fillId="0" borderId="0" xfId="0" applyFont="1" applyAlignment="1">
      <alignment horizontal="right" vertical="top" wrapText="1"/>
    </xf>
    <xf numFmtId="168" fontId="5" fillId="0" borderId="0" xfId="0" applyNumberFormat="1" applyFont="1"/>
    <xf numFmtId="168" fontId="5" fillId="0" borderId="0" xfId="0" applyNumberFormat="1" applyFont="1" applyAlignment="1">
      <alignment horizontal="right" vertical="top" wrapText="1"/>
    </xf>
    <xf numFmtId="0" fontId="5" fillId="0" borderId="0" xfId="0" applyFont="1" applyAlignment="1">
      <alignment vertical="top" wrapText="1"/>
    </xf>
    <xf numFmtId="165" fontId="0" fillId="0" borderId="0" xfId="0" applyNumberFormat="1" applyAlignment="1">
      <alignment horizontal="right"/>
    </xf>
    <xf numFmtId="3" fontId="18" fillId="0" borderId="0" xfId="0" applyNumberFormat="1" applyFont="1" applyAlignment="1">
      <alignment horizontal="right"/>
    </xf>
    <xf numFmtId="14" fontId="5" fillId="4" borderId="1" xfId="0" applyNumberFormat="1" applyFont="1" applyFill="1" applyBorder="1" applyAlignment="1">
      <alignment horizontal="right"/>
    </xf>
    <xf numFmtId="166" fontId="18" fillId="3" borderId="1" xfId="0" applyNumberFormat="1" applyFont="1" applyFill="1" applyBorder="1" applyAlignment="1">
      <alignment horizontal="right"/>
    </xf>
    <xf numFmtId="10" fontId="5" fillId="4" borderId="0" xfId="0" applyNumberFormat="1" applyFont="1" applyFill="1" applyAlignment="1">
      <alignment horizontal="left"/>
    </xf>
    <xf numFmtId="0" fontId="25" fillId="0" borderId="0" xfId="0" applyFont="1" applyAlignment="1">
      <alignment wrapText="1"/>
    </xf>
    <xf numFmtId="1" fontId="5" fillId="5" borderId="1" xfId="0" applyNumberFormat="1" applyFont="1" applyFill="1" applyBorder="1" applyAlignment="1">
      <alignment horizontal="right"/>
    </xf>
    <xf numFmtId="1" fontId="5" fillId="0" borderId="0" xfId="0" applyNumberFormat="1" applyFont="1" applyAlignment="1">
      <alignment horizontal="right"/>
    </xf>
    <xf numFmtId="0" fontId="5" fillId="0" borderId="5" xfId="0" applyFont="1" applyBorder="1" applyAlignment="1">
      <alignment horizontal="right"/>
    </xf>
    <xf numFmtId="0" fontId="5" fillId="4" borderId="0" xfId="0" applyFont="1" applyFill="1"/>
    <xf numFmtId="0" fontId="5" fillId="0" borderId="0" xfId="0" applyFont="1" applyAlignment="1">
      <alignment horizontal="left" wrapText="1"/>
    </xf>
    <xf numFmtId="0" fontId="12" fillId="0" borderId="0" xfId="1" applyAlignment="1" applyProtection="1"/>
    <xf numFmtId="4" fontId="0" fillId="0" borderId="0" xfId="0" applyNumberFormat="1" applyAlignment="1">
      <alignment horizontal="left"/>
    </xf>
    <xf numFmtId="3" fontId="26" fillId="0" borderId="1" xfId="0" applyNumberFormat="1" applyFont="1" applyBorder="1" applyAlignment="1">
      <alignment horizontal="right"/>
    </xf>
    <xf numFmtId="0" fontId="4" fillId="0" borderId="0" xfId="0" applyFont="1" applyAlignment="1">
      <alignment horizontal="right"/>
    </xf>
    <xf numFmtId="4" fontId="5" fillId="6" borderId="0" xfId="0" applyNumberFormat="1" applyFont="1" applyFill="1" applyAlignment="1">
      <alignment horizontal="right"/>
    </xf>
    <xf numFmtId="4" fontId="6" fillId="0" borderId="0" xfId="0" applyNumberFormat="1" applyFont="1" applyAlignment="1">
      <alignment horizontal="left"/>
    </xf>
    <xf numFmtId="4" fontId="4" fillId="0" borderId="0" xfId="0" applyNumberFormat="1" applyFont="1" applyAlignment="1">
      <alignment horizontal="right"/>
    </xf>
    <xf numFmtId="168" fontId="4" fillId="0" borderId="0" xfId="0" applyNumberFormat="1" applyFont="1"/>
    <xf numFmtId="4" fontId="4" fillId="0" borderId="0" xfId="0" applyNumberFormat="1" applyFont="1" applyAlignment="1">
      <alignment horizontal="right" vertical="top" wrapText="1"/>
    </xf>
    <xf numFmtId="168" fontId="4" fillId="0" borderId="0" xfId="0" applyNumberFormat="1" applyFont="1" applyAlignment="1">
      <alignment horizontal="right" vertical="top" wrapText="1"/>
    </xf>
    <xf numFmtId="4" fontId="4" fillId="0" borderId="0" xfId="0" applyNumberFormat="1" applyFont="1" applyAlignment="1">
      <alignment vertical="top" wrapText="1"/>
    </xf>
    <xf numFmtId="0" fontId="4" fillId="0" borderId="0" xfId="0" applyFont="1" applyAlignment="1">
      <alignment horizontal="left"/>
    </xf>
    <xf numFmtId="4" fontId="4" fillId="0" borderId="0" xfId="0" applyNumberFormat="1" applyFont="1"/>
    <xf numFmtId="14" fontId="4" fillId="0" borderId="0" xfId="0" applyNumberFormat="1" applyFont="1"/>
    <xf numFmtId="0" fontId="27" fillId="0" borderId="0" xfId="1" applyFont="1" applyAlignment="1" applyProtection="1">
      <alignment horizontal="left"/>
    </xf>
    <xf numFmtId="0" fontId="23" fillId="0" borderId="0" xfId="1" applyFont="1" applyAlignment="1" applyProtection="1">
      <alignment horizontal="left"/>
    </xf>
    <xf numFmtId="0" fontId="14" fillId="0" borderId="0" xfId="3" applyFont="1"/>
    <xf numFmtId="3" fontId="4" fillId="0" borderId="0" xfId="3" applyNumberFormat="1"/>
    <xf numFmtId="170" fontId="4" fillId="0" borderId="0" xfId="3" applyNumberFormat="1"/>
    <xf numFmtId="0" fontId="4" fillId="0" borderId="0" xfId="3"/>
    <xf numFmtId="0" fontId="6" fillId="0" borderId="0" xfId="3" applyFont="1"/>
    <xf numFmtId="0" fontId="10" fillId="0" borderId="0" xfId="3" applyFont="1"/>
    <xf numFmtId="0" fontId="28" fillId="0" borderId="0" xfId="3" applyFont="1" applyAlignment="1">
      <alignment horizontal="center" readingOrder="1"/>
    </xf>
    <xf numFmtId="1" fontId="4" fillId="6" borderId="0" xfId="3" applyNumberFormat="1" applyFill="1" applyAlignment="1">
      <alignment horizontal="left"/>
    </xf>
    <xf numFmtId="2" fontId="4" fillId="0" borderId="0" xfId="3" applyNumberFormat="1" applyAlignment="1">
      <alignment wrapText="1"/>
    </xf>
    <xf numFmtId="10" fontId="4" fillId="4" borderId="0" xfId="3" applyNumberFormat="1" applyFill="1" applyAlignment="1">
      <alignment horizontal="left"/>
    </xf>
    <xf numFmtId="0" fontId="4" fillId="0" borderId="0" xfId="3" applyAlignment="1">
      <alignment wrapText="1"/>
    </xf>
    <xf numFmtId="10" fontId="4" fillId="6" borderId="0" xfId="3" applyNumberFormat="1" applyFill="1" applyAlignment="1">
      <alignment horizontal="left"/>
    </xf>
    <xf numFmtId="10" fontId="4" fillId="0" borderId="0" xfId="3" applyNumberFormat="1"/>
    <xf numFmtId="3" fontId="6" fillId="0" borderId="0" xfId="3" applyNumberFormat="1" applyFont="1"/>
    <xf numFmtId="10" fontId="6" fillId="0" borderId="0" xfId="3" applyNumberFormat="1" applyFont="1"/>
    <xf numFmtId="0" fontId="7" fillId="0" borderId="0" xfId="3" applyFont="1"/>
    <xf numFmtId="3" fontId="7" fillId="0" borderId="0" xfId="3" applyNumberFormat="1" applyFont="1"/>
    <xf numFmtId="170" fontId="7" fillId="0" borderId="0" xfId="3" applyNumberFormat="1" applyFont="1"/>
    <xf numFmtId="0" fontId="6" fillId="0" borderId="0" xfId="1" applyFont="1" applyAlignment="1" applyProtection="1"/>
    <xf numFmtId="3" fontId="5" fillId="0" borderId="1" xfId="0" quotePrefix="1" applyNumberFormat="1" applyFont="1" applyBorder="1" applyAlignment="1">
      <alignment horizontal="right"/>
    </xf>
    <xf numFmtId="3" fontId="4" fillId="0" borderId="0" xfId="3" applyNumberFormat="1" applyAlignment="1">
      <alignment horizontal="right"/>
    </xf>
    <xf numFmtId="3" fontId="6" fillId="0" borderId="0" xfId="3" applyNumberFormat="1" applyFont="1" applyAlignment="1">
      <alignment horizontal="right"/>
    </xf>
    <xf numFmtId="1" fontId="7" fillId="0" borderId="0" xfId="0" applyNumberFormat="1" applyFont="1" applyAlignment="1">
      <alignment horizontal="right"/>
    </xf>
    <xf numFmtId="1" fontId="4" fillId="3" borderId="1" xfId="0" applyNumberFormat="1" applyFont="1" applyFill="1" applyBorder="1" applyAlignment="1">
      <alignment horizontal="right"/>
    </xf>
    <xf numFmtId="1" fontId="4" fillId="0" borderId="0" xfId="0" applyNumberFormat="1" applyFont="1" applyAlignment="1">
      <alignment horizontal="center" wrapText="1"/>
    </xf>
    <xf numFmtId="1" fontId="4" fillId="0" borderId="0" xfId="0" applyNumberFormat="1" applyFont="1"/>
    <xf numFmtId="1" fontId="4" fillId="4" borderId="1" xfId="0" applyNumberFormat="1" applyFont="1" applyFill="1" applyBorder="1" applyAlignment="1">
      <alignment horizontal="right"/>
    </xf>
    <xf numFmtId="1" fontId="6" fillId="0" borderId="0" xfId="0" applyNumberFormat="1" applyFont="1" applyAlignment="1">
      <alignment horizontal="center" wrapText="1"/>
    </xf>
    <xf numFmtId="0" fontId="4" fillId="0" borderId="0" xfId="0" applyFont="1" applyAlignment="1">
      <alignment horizontal="center" wrapText="1"/>
    </xf>
    <xf numFmtId="1" fontId="7" fillId="3" borderId="3" xfId="0" applyNumberFormat="1" applyFont="1" applyFill="1" applyBorder="1" applyAlignment="1">
      <alignment horizontal="right"/>
    </xf>
    <xf numFmtId="1" fontId="7" fillId="0" borderId="0" xfId="0" applyNumberFormat="1" applyFont="1" applyAlignment="1">
      <alignment horizontal="center" wrapText="1"/>
    </xf>
    <xf numFmtId="1" fontId="7" fillId="0" borderId="0" xfId="0" applyNumberFormat="1" applyFont="1"/>
    <xf numFmtId="1" fontId="6" fillId="3" borderId="1" xfId="0" applyNumberFormat="1" applyFont="1" applyFill="1" applyBorder="1" applyAlignment="1">
      <alignment horizontal="right"/>
    </xf>
    <xf numFmtId="0" fontId="4" fillId="0" borderId="0" xfId="4" applyFont="1" applyAlignment="1">
      <alignment horizontal="center" wrapText="1"/>
    </xf>
    <xf numFmtId="0" fontId="4" fillId="0" borderId="0" xfId="1" applyFont="1" applyFill="1" applyAlignment="1" applyProtection="1">
      <alignment horizontal="center" wrapText="1"/>
    </xf>
    <xf numFmtId="1" fontId="4" fillId="0" borderId="0" xfId="4" applyNumberFormat="1" applyFont="1" applyAlignment="1">
      <alignment horizontal="center" vertical="top" wrapText="1"/>
    </xf>
    <xf numFmtId="1" fontId="4" fillId="0" borderId="0" xfId="1" applyNumberFormat="1" applyFont="1" applyFill="1" applyAlignment="1" applyProtection="1">
      <alignment horizontal="center" vertical="top" wrapText="1"/>
    </xf>
    <xf numFmtId="1" fontId="4" fillId="0" borderId="0" xfId="3" applyNumberFormat="1" applyAlignment="1">
      <alignment horizontal="left"/>
    </xf>
    <xf numFmtId="3" fontId="4" fillId="4" borderId="0" xfId="3" applyNumberFormat="1" applyFill="1" applyAlignment="1">
      <alignment horizontal="right"/>
    </xf>
    <xf numFmtId="10" fontId="4" fillId="4" borderId="0" xfId="3" applyNumberFormat="1" applyFill="1" applyAlignment="1">
      <alignment horizontal="right"/>
    </xf>
    <xf numFmtId="3" fontId="4" fillId="6" borderId="0" xfId="3" applyNumberFormat="1" applyFill="1" applyAlignment="1">
      <alignment horizontal="left"/>
    </xf>
    <xf numFmtId="1" fontId="5" fillId="4" borderId="0" xfId="0" applyNumberFormat="1" applyFont="1" applyFill="1" applyAlignment="1">
      <alignment horizontal="left"/>
    </xf>
    <xf numFmtId="1" fontId="5" fillId="0" borderId="0" xfId="0" applyNumberFormat="1" applyFont="1" applyAlignment="1">
      <alignment horizontal="left"/>
    </xf>
    <xf numFmtId="0" fontId="4" fillId="0" borderId="0" xfId="0" applyFont="1" applyAlignment="1">
      <alignment horizontal="center"/>
    </xf>
    <xf numFmtId="1" fontId="31" fillId="0" borderId="7" xfId="0" applyNumberFormat="1" applyFont="1" applyBorder="1" applyAlignment="1">
      <alignment horizontal="right"/>
    </xf>
    <xf numFmtId="1" fontId="31" fillId="0" borderId="0" xfId="0" applyNumberFormat="1" applyFont="1" applyAlignment="1">
      <alignment horizontal="left"/>
    </xf>
    <xf numFmtId="170" fontId="4" fillId="0" borderId="0" xfId="0" applyNumberFormat="1" applyFont="1" applyAlignment="1">
      <alignment horizontal="center"/>
    </xf>
    <xf numFmtId="1" fontId="3" fillId="3" borderId="6" xfId="0" applyNumberFormat="1" applyFont="1" applyFill="1" applyBorder="1" applyAlignment="1">
      <alignment horizontal="right"/>
    </xf>
    <xf numFmtId="0" fontId="1" fillId="0" borderId="0" xfId="0" applyFont="1" applyAlignment="1">
      <alignment horizontal="left"/>
    </xf>
    <xf numFmtId="0" fontId="0" fillId="0" borderId="0" xfId="0" applyAlignment="1">
      <alignment horizontal="left"/>
    </xf>
    <xf numFmtId="0" fontId="8" fillId="0" borderId="0" xfId="0" applyFont="1" applyAlignment="1">
      <alignment horizontal="left"/>
    </xf>
    <xf numFmtId="0" fontId="0" fillId="0" borderId="0" xfId="0" applyAlignment="1">
      <alignment horizontal="left" wrapText="1"/>
    </xf>
    <xf numFmtId="0" fontId="4" fillId="0" borderId="0" xfId="1" applyFont="1" applyFill="1" applyAlignment="1" applyProtection="1">
      <alignment horizontal="left" wrapText="1"/>
    </xf>
    <xf numFmtId="0" fontId="4" fillId="0" borderId="0" xfId="4" applyFont="1" applyAlignment="1">
      <alignment horizontal="left" wrapText="1"/>
    </xf>
    <xf numFmtId="1" fontId="5" fillId="0" borderId="0" xfId="4" applyNumberFormat="1" applyFont="1" applyAlignment="1">
      <alignment horizontal="left" vertical="top" wrapText="1"/>
    </xf>
    <xf numFmtId="0" fontId="4" fillId="0" borderId="0" xfId="0" applyFont="1" applyAlignment="1">
      <alignment horizontal="left" wrapText="1"/>
    </xf>
    <xf numFmtId="1" fontId="4" fillId="0" borderId="0" xfId="1" applyNumberFormat="1" applyFont="1" applyFill="1" applyAlignment="1" applyProtection="1">
      <alignment horizontal="left" vertical="top" wrapText="1"/>
    </xf>
    <xf numFmtId="0" fontId="2" fillId="0" borderId="0" xfId="0" applyFont="1" applyAlignment="1">
      <alignment horizontal="left"/>
    </xf>
    <xf numFmtId="1" fontId="2" fillId="0" borderId="0" xfId="0" applyNumberFormat="1" applyFont="1"/>
    <xf numFmtId="1" fontId="1" fillId="0" borderId="0" xfId="0" applyNumberFormat="1" applyFont="1" applyAlignment="1">
      <alignment horizontal="right"/>
    </xf>
    <xf numFmtId="1" fontId="3" fillId="0" borderId="0" xfId="0" applyNumberFormat="1" applyFont="1"/>
    <xf numFmtId="0" fontId="10" fillId="0" borderId="0" xfId="0" applyFont="1" applyAlignment="1">
      <alignment horizontal="left"/>
    </xf>
    <xf numFmtId="1" fontId="4" fillId="7" borderId="0" xfId="0" applyNumberFormat="1" applyFont="1" applyFill="1" applyAlignment="1">
      <alignment horizontal="right"/>
    </xf>
    <xf numFmtId="0" fontId="3" fillId="0" borderId="0" xfId="0" applyFont="1" applyAlignment="1">
      <alignment horizontal="left"/>
    </xf>
    <xf numFmtId="1" fontId="4" fillId="0" borderId="0" xfId="0" applyNumberFormat="1" applyFont="1" applyAlignment="1">
      <alignment horizontal="left"/>
    </xf>
    <xf numFmtId="14" fontId="4" fillId="0" borderId="0" xfId="0" applyNumberFormat="1" applyFont="1" applyAlignment="1">
      <alignment horizontal="right"/>
    </xf>
    <xf numFmtId="1" fontId="4" fillId="0" borderId="0" xfId="0" applyNumberFormat="1" applyFont="1" applyAlignment="1">
      <alignment horizontal="right"/>
    </xf>
    <xf numFmtId="14" fontId="4" fillId="7" borderId="0" xfId="0" applyNumberFormat="1" applyFont="1" applyFill="1"/>
    <xf numFmtId="166" fontId="4" fillId="8" borderId="0" xfId="0" applyNumberFormat="1" applyFont="1" applyFill="1"/>
    <xf numFmtId="1" fontId="34" fillId="0" borderId="0" xfId="0" applyNumberFormat="1" applyFont="1"/>
    <xf numFmtId="1" fontId="34" fillId="0" borderId="0" xfId="0" applyNumberFormat="1" applyFont="1" applyAlignment="1">
      <alignment horizontal="right"/>
    </xf>
    <xf numFmtId="1" fontId="34" fillId="7" borderId="0" xfId="6" applyNumberFormat="1" applyFont="1" applyFill="1" applyAlignment="1">
      <alignment horizontal="right"/>
    </xf>
    <xf numFmtId="1" fontId="34" fillId="7" borderId="0" xfId="0" applyNumberFormat="1" applyFont="1" applyFill="1" applyAlignment="1">
      <alignment horizontal="right"/>
    </xf>
    <xf numFmtId="1" fontId="18" fillId="4" borderId="1" xfId="0" applyNumberFormat="1" applyFont="1" applyFill="1" applyBorder="1" applyAlignment="1">
      <alignment horizontal="right"/>
    </xf>
    <xf numFmtId="0" fontId="18" fillId="4" borderId="0" xfId="0" applyFont="1" applyFill="1" applyAlignment="1">
      <alignment horizontal="right"/>
    </xf>
    <xf numFmtId="170" fontId="5" fillId="0" borderId="0" xfId="4" applyNumberFormat="1" applyFont="1"/>
    <xf numFmtId="1" fontId="14" fillId="0" borderId="0" xfId="0" applyNumberFormat="1" applyFont="1" applyAlignment="1">
      <alignment horizontal="right" vertical="top"/>
    </xf>
    <xf numFmtId="0" fontId="4" fillId="7" borderId="0" xfId="0" applyFont="1" applyFill="1" applyAlignment="1">
      <alignment horizontal="right"/>
    </xf>
    <xf numFmtId="1" fontId="1" fillId="0" borderId="0" xfId="3" applyNumberFormat="1" applyFont="1" applyAlignment="1">
      <alignment horizontal="left"/>
    </xf>
    <xf numFmtId="1" fontId="34" fillId="8" borderId="0" xfId="0" applyNumberFormat="1" applyFont="1" applyFill="1"/>
    <xf numFmtId="1" fontId="5" fillId="7" borderId="0" xfId="0" applyNumberFormat="1" applyFont="1" applyFill="1" applyAlignment="1">
      <alignment horizontal="right"/>
    </xf>
    <xf numFmtId="1" fontId="4" fillId="0" borderId="0" xfId="0" quotePrefix="1" applyNumberFormat="1" applyFont="1" applyAlignment="1">
      <alignment horizontal="right"/>
    </xf>
    <xf numFmtId="1" fontId="0" fillId="0" borderId="0" xfId="0" quotePrefix="1" applyNumberFormat="1" applyAlignment="1">
      <alignment horizontal="right"/>
    </xf>
    <xf numFmtId="1" fontId="4" fillId="7" borderId="0" xfId="6" applyNumberFormat="1" applyFont="1" applyFill="1" applyAlignment="1">
      <alignment horizontal="left"/>
    </xf>
    <xf numFmtId="1" fontId="4" fillId="0" borderId="0" xfId="0" applyNumberFormat="1" applyFont="1" applyAlignment="1">
      <alignment horizontal="right" indent="1"/>
    </xf>
    <xf numFmtId="0" fontId="3" fillId="0" borderId="0" xfId="0" applyFont="1"/>
    <xf numFmtId="0" fontId="3" fillId="0" borderId="0" xfId="0" applyFont="1" applyAlignment="1">
      <alignment horizontal="left" wrapText="1"/>
    </xf>
    <xf numFmtId="0" fontId="2" fillId="0" borderId="0" xfId="0" applyFont="1" applyAlignment="1">
      <alignment horizontal="left" wrapText="1"/>
    </xf>
    <xf numFmtId="0" fontId="0" fillId="8" borderId="0" xfId="0" applyFill="1" applyAlignment="1">
      <alignment horizontal="right"/>
    </xf>
    <xf numFmtId="3" fontId="5" fillId="10" borderId="1" xfId="0" applyNumberFormat="1" applyFont="1" applyFill="1" applyBorder="1" applyAlignment="1">
      <alignment horizontal="right"/>
    </xf>
    <xf numFmtId="1" fontId="4" fillId="8" borderId="0" xfId="0" applyNumberFormat="1" applyFont="1" applyFill="1"/>
    <xf numFmtId="1" fontId="0" fillId="7" borderId="0" xfId="0" applyNumberFormat="1" applyFill="1"/>
    <xf numFmtId="170" fontId="4" fillId="7" borderId="0" xfId="0" applyNumberFormat="1" applyFont="1" applyFill="1" applyAlignment="1">
      <alignment horizontal="left"/>
    </xf>
    <xf numFmtId="170" fontId="4" fillId="0" borderId="0" xfId="7" applyNumberFormat="1" applyFont="1"/>
    <xf numFmtId="10" fontId="4" fillId="0" borderId="0" xfId="7" applyNumberFormat="1" applyFont="1"/>
    <xf numFmtId="3" fontId="34" fillId="0" borderId="0" xfId="0" applyNumberFormat="1" applyFont="1" applyAlignment="1">
      <alignment horizontal="right"/>
    </xf>
    <xf numFmtId="10" fontId="0" fillId="7" borderId="0" xfId="0" applyNumberFormat="1" applyFill="1" applyAlignment="1">
      <alignment horizontal="right"/>
    </xf>
    <xf numFmtId="1" fontId="0" fillId="7" borderId="0" xfId="0" applyNumberFormat="1" applyFill="1" applyAlignment="1">
      <alignment horizontal="right"/>
    </xf>
    <xf numFmtId="3" fontId="4" fillId="0" borderId="1" xfId="0" applyNumberFormat="1" applyFont="1" applyBorder="1" applyAlignment="1">
      <alignment horizontal="right"/>
    </xf>
    <xf numFmtId="10" fontId="4" fillId="7" borderId="0" xfId="0" applyNumberFormat="1" applyFont="1" applyFill="1"/>
    <xf numFmtId="10" fontId="2" fillId="0" borderId="0" xfId="0" applyNumberFormat="1" applyFont="1"/>
    <xf numFmtId="10" fontId="0" fillId="0" borderId="0" xfId="0" applyNumberFormat="1"/>
    <xf numFmtId="10" fontId="4" fillId="8" borderId="0" xfId="0" applyNumberFormat="1" applyFont="1" applyFill="1"/>
    <xf numFmtId="0" fontId="4" fillId="0" borderId="0" xfId="1" applyFont="1" applyAlignment="1" applyProtection="1">
      <alignment horizontal="left" wrapText="1"/>
    </xf>
    <xf numFmtId="0" fontId="1" fillId="0" borderId="0" xfId="3" applyFont="1"/>
    <xf numFmtId="0" fontId="2" fillId="0" borderId="0" xfId="3" applyFont="1" applyAlignment="1">
      <alignment wrapText="1"/>
    </xf>
    <xf numFmtId="0" fontId="14" fillId="0" borderId="0" xfId="3" applyFont="1" applyAlignment="1">
      <alignment wrapText="1"/>
    </xf>
    <xf numFmtId="0" fontId="3" fillId="0" borderId="0" xfId="3" applyFont="1" applyAlignment="1">
      <alignment wrapText="1"/>
    </xf>
    <xf numFmtId="3" fontId="1" fillId="0" borderId="0" xfId="3" applyNumberFormat="1" applyFont="1" applyAlignment="1">
      <alignment horizontal="right" wrapText="1"/>
    </xf>
    <xf numFmtId="170" fontId="1" fillId="0" borderId="0" xfId="3" applyNumberFormat="1" applyFont="1" applyAlignment="1">
      <alignment horizontal="right" wrapText="1"/>
    </xf>
    <xf numFmtId="0" fontId="1" fillId="0" borderId="0" xfId="3" applyFont="1" applyAlignment="1">
      <alignment horizontal="right" wrapText="1"/>
    </xf>
    <xf numFmtId="0" fontId="4" fillId="0" borderId="0" xfId="1" applyFont="1" applyAlignment="1" applyProtection="1"/>
    <xf numFmtId="1" fontId="4" fillId="0" borderId="0" xfId="4" applyNumberFormat="1" applyFont="1" applyAlignment="1">
      <alignment horizontal="left" wrapText="1"/>
    </xf>
    <xf numFmtId="1" fontId="0" fillId="0" borderId="0" xfId="0" applyNumberFormat="1" applyAlignment="1">
      <alignment horizontal="right" wrapText="1"/>
    </xf>
    <xf numFmtId="0" fontId="1" fillId="0" borderId="0" xfId="0" applyFont="1" applyAlignment="1">
      <alignment horizontal="right"/>
    </xf>
    <xf numFmtId="3" fontId="4" fillId="0" borderId="0" xfId="0" applyNumberFormat="1" applyFont="1" applyAlignment="1">
      <alignment horizontal="right"/>
    </xf>
    <xf numFmtId="1" fontId="10" fillId="0" borderId="0" xfId="0" applyNumberFormat="1" applyFont="1"/>
    <xf numFmtId="0" fontId="4" fillId="0" borderId="0" xfId="0" applyFont="1" applyAlignment="1">
      <alignment horizontal="left" vertical="top" wrapText="1"/>
    </xf>
    <xf numFmtId="1" fontId="1" fillId="0" borderId="0" xfId="0" applyNumberFormat="1" applyFont="1"/>
    <xf numFmtId="1" fontId="4" fillId="0" borderId="0" xfId="4" applyNumberFormat="1" applyFont="1" applyAlignment="1">
      <alignment horizontal="left" vertical="top" wrapText="1"/>
    </xf>
    <xf numFmtId="1" fontId="3" fillId="0" borderId="0" xfId="0" applyNumberFormat="1" applyFont="1" applyAlignment="1">
      <alignment horizontal="right" wrapText="1"/>
    </xf>
    <xf numFmtId="1" fontId="2" fillId="0" borderId="0" xfId="0" applyNumberFormat="1" applyFont="1" applyAlignment="1">
      <alignment horizontal="right"/>
    </xf>
    <xf numFmtId="3" fontId="34" fillId="0" borderId="1" xfId="0" applyNumberFormat="1" applyFont="1" applyBorder="1" applyAlignment="1">
      <alignment horizontal="right"/>
    </xf>
    <xf numFmtId="4" fontId="1" fillId="3" borderId="0" xfId="0" applyNumberFormat="1" applyFont="1" applyFill="1" applyAlignment="1">
      <alignment horizontal="right"/>
    </xf>
    <xf numFmtId="4" fontId="1" fillId="0" borderId="0" xfId="0" applyNumberFormat="1" applyFont="1" applyAlignment="1">
      <alignment horizontal="right"/>
    </xf>
    <xf numFmtId="0" fontId="4" fillId="0" borderId="0" xfId="0" quotePrefix="1" applyFont="1" applyAlignment="1">
      <alignment horizontal="left"/>
    </xf>
    <xf numFmtId="169" fontId="4" fillId="0" borderId="0" xfId="0" applyNumberFormat="1" applyFont="1"/>
    <xf numFmtId="4" fontId="2" fillId="0" borderId="0" xfId="0" applyNumberFormat="1" applyFont="1" applyAlignment="1">
      <alignment horizontal="right"/>
    </xf>
    <xf numFmtId="1" fontId="18" fillId="0" borderId="0" xfId="0" applyNumberFormat="1" applyFont="1"/>
    <xf numFmtId="1" fontId="26" fillId="0" borderId="0" xfId="0" applyNumberFormat="1" applyFont="1" applyAlignment="1">
      <alignment horizontal="right"/>
    </xf>
    <xf numFmtId="3" fontId="4" fillId="11" borderId="0" xfId="3" applyNumberFormat="1" applyFill="1" applyAlignment="1">
      <alignment horizontal="left"/>
    </xf>
    <xf numFmtId="2" fontId="0" fillId="11" borderId="0" xfId="0" applyNumberFormat="1" applyFill="1"/>
    <xf numFmtId="4" fontId="4" fillId="11" borderId="0" xfId="0" applyNumberFormat="1" applyFont="1" applyFill="1"/>
    <xf numFmtId="0" fontId="3" fillId="11" borderId="0" xfId="0" applyFont="1" applyFill="1"/>
    <xf numFmtId="1" fontId="0" fillId="11" borderId="0" xfId="0" applyNumberFormat="1" applyFill="1" applyAlignment="1">
      <alignment horizontal="right"/>
    </xf>
    <xf numFmtId="4" fontId="5" fillId="11" borderId="0" xfId="0" applyNumberFormat="1" applyFont="1" applyFill="1"/>
    <xf numFmtId="0" fontId="8" fillId="11" borderId="0" xfId="0" applyFont="1" applyFill="1"/>
    <xf numFmtId="4" fontId="0" fillId="11" borderId="0" xfId="0" applyNumberFormat="1" applyFill="1" applyAlignment="1">
      <alignment horizontal="right"/>
    </xf>
    <xf numFmtId="4" fontId="0" fillId="11" borderId="0" xfId="0" applyNumberFormat="1" applyFill="1"/>
    <xf numFmtId="0" fontId="0" fillId="11" borderId="0" xfId="0" applyFill="1" applyAlignment="1">
      <alignment horizontal="right"/>
    </xf>
    <xf numFmtId="1" fontId="18" fillId="11" borderId="0" xfId="0" applyNumberFormat="1" applyFont="1" applyFill="1" applyAlignment="1">
      <alignment horizontal="right"/>
    </xf>
    <xf numFmtId="1" fontId="4" fillId="11" borderId="0" xfId="0" applyNumberFormat="1" applyFont="1" applyFill="1" applyAlignment="1">
      <alignment horizontal="right"/>
    </xf>
    <xf numFmtId="0" fontId="4" fillId="11" borderId="0" xfId="0" applyFont="1" applyFill="1" applyAlignment="1">
      <alignment horizontal="left"/>
    </xf>
    <xf numFmtId="0" fontId="0" fillId="11" borderId="0" xfId="0" applyFill="1"/>
    <xf numFmtId="4" fontId="14" fillId="11" borderId="0" xfId="0" applyNumberFormat="1" applyFont="1" applyFill="1" applyAlignment="1">
      <alignment horizontal="right"/>
    </xf>
    <xf numFmtId="165" fontId="0" fillId="11" borderId="0" xfId="0" applyNumberFormat="1" applyFill="1" applyAlignment="1">
      <alignment horizontal="right"/>
    </xf>
    <xf numFmtId="0" fontId="2" fillId="11" borderId="0" xfId="0" applyFont="1" applyFill="1"/>
    <xf numFmtId="10" fontId="0" fillId="7" borderId="0" xfId="7" applyNumberFormat="1" applyFont="1" applyFill="1" applyAlignment="1">
      <alignment horizontal="right"/>
    </xf>
    <xf numFmtId="10" fontId="0" fillId="8" borderId="0" xfId="7" applyNumberFormat="1" applyFont="1" applyFill="1" applyAlignment="1">
      <alignment horizontal="right"/>
    </xf>
    <xf numFmtId="10" fontId="5" fillId="7" borderId="0" xfId="0" applyNumberFormat="1" applyFont="1" applyFill="1" applyAlignment="1">
      <alignment horizontal="left"/>
    </xf>
    <xf numFmtId="2" fontId="14" fillId="4" borderId="0" xfId="0" applyNumberFormat="1" applyFont="1" applyFill="1" applyAlignment="1" applyProtection="1">
      <alignment horizontal="right"/>
      <protection locked="0"/>
    </xf>
    <xf numFmtId="2" fontId="14" fillId="0" borderId="0" xfId="0" applyNumberFormat="1" applyFont="1"/>
    <xf numFmtId="4" fontId="14" fillId="4" borderId="1" xfId="0" applyNumberFormat="1" applyFont="1" applyFill="1" applyBorder="1" applyAlignment="1">
      <alignment horizontal="right"/>
    </xf>
    <xf numFmtId="2" fontId="0" fillId="0" borderId="0" xfId="0" applyNumberFormat="1" applyAlignment="1">
      <alignment horizontal="right"/>
    </xf>
    <xf numFmtId="2" fontId="0" fillId="11" borderId="0" xfId="0" applyNumberFormat="1" applyFill="1" applyAlignment="1">
      <alignment horizontal="right"/>
    </xf>
    <xf numFmtId="4" fontId="0" fillId="11" borderId="0" xfId="0" applyNumberFormat="1" applyFill="1" applyAlignment="1">
      <alignment horizontal="left"/>
    </xf>
    <xf numFmtId="10" fontId="4" fillId="8" borderId="0" xfId="0" applyNumberFormat="1" applyFont="1" applyFill="1" applyAlignment="1">
      <alignment horizontal="left"/>
    </xf>
    <xf numFmtId="10" fontId="4" fillId="7" borderId="0" xfId="0" applyNumberFormat="1" applyFont="1" applyFill="1" applyAlignment="1">
      <alignment horizontal="left"/>
    </xf>
    <xf numFmtId="10" fontId="4" fillId="0" borderId="0" xfId="0" applyNumberFormat="1" applyFont="1" applyAlignment="1">
      <alignment horizontal="left"/>
    </xf>
    <xf numFmtId="0" fontId="7" fillId="11" borderId="0" xfId="0" applyFont="1" applyFill="1"/>
    <xf numFmtId="0" fontId="6" fillId="11" borderId="0" xfId="0" applyFont="1" applyFill="1"/>
    <xf numFmtId="4" fontId="5" fillId="11" borderId="0" xfId="0" applyNumberFormat="1" applyFont="1" applyFill="1" applyAlignment="1">
      <alignment horizontal="centerContinuous"/>
    </xf>
    <xf numFmtId="4" fontId="0" fillId="11" borderId="0" xfId="0" applyNumberFormat="1" applyFill="1" applyAlignment="1">
      <alignment horizontal="centerContinuous"/>
    </xf>
    <xf numFmtId="4" fontId="5" fillId="11" borderId="0" xfId="0" applyNumberFormat="1" applyFont="1" applyFill="1" applyAlignment="1">
      <alignment horizontal="right"/>
    </xf>
    <xf numFmtId="4" fontId="2" fillId="11" borderId="0" xfId="0" applyNumberFormat="1" applyFont="1" applyFill="1" applyAlignment="1">
      <alignment horizontal="left"/>
    </xf>
    <xf numFmtId="4" fontId="2" fillId="11" borderId="0" xfId="0" applyNumberFormat="1" applyFont="1" applyFill="1"/>
    <xf numFmtId="0" fontId="4" fillId="11" borderId="0" xfId="0" applyFont="1" applyFill="1"/>
    <xf numFmtId="171" fontId="0" fillId="0" borderId="0" xfId="0" applyNumberFormat="1"/>
    <xf numFmtId="4" fontId="1" fillId="11" borderId="0" xfId="0" applyNumberFormat="1" applyFont="1" applyFill="1" applyAlignment="1">
      <alignment horizontal="right"/>
    </xf>
    <xf numFmtId="10" fontId="0" fillId="11" borderId="0" xfId="7" applyNumberFormat="1" applyFont="1" applyFill="1" applyAlignment="1">
      <alignment horizontal="left"/>
    </xf>
    <xf numFmtId="169" fontId="0" fillId="0" borderId="0" xfId="0" applyNumberFormat="1"/>
    <xf numFmtId="2" fontId="4" fillId="0" borderId="0" xfId="0" applyNumberFormat="1" applyFont="1"/>
    <xf numFmtId="0" fontId="2" fillId="0" borderId="0" xfId="0" applyFont="1" applyAlignment="1">
      <alignment horizontal="right"/>
    </xf>
    <xf numFmtId="4" fontId="5" fillId="0" borderId="0" xfId="0" applyNumberFormat="1" applyFont="1" applyAlignment="1">
      <alignment horizontal="left" vertical="top" wrapText="1"/>
    </xf>
    <xf numFmtId="0" fontId="7" fillId="0" borderId="0" xfId="0" applyFont="1" applyAlignment="1">
      <alignment horizontal="left"/>
    </xf>
    <xf numFmtId="4" fontId="2" fillId="11" borderId="0" xfId="0" applyNumberFormat="1" applyFont="1" applyFill="1" applyAlignment="1">
      <alignment horizontal="left" vertical="top"/>
    </xf>
    <xf numFmtId="4" fontId="2" fillId="11" borderId="0" xfId="0" applyNumberFormat="1" applyFont="1" applyFill="1" applyAlignment="1">
      <alignment horizontal="right"/>
    </xf>
    <xf numFmtId="168" fontId="2" fillId="11" borderId="0" xfId="0" applyNumberFormat="1" applyFont="1" applyFill="1" applyAlignment="1">
      <alignment horizontal="right" vertical="top" wrapText="1"/>
    </xf>
    <xf numFmtId="4" fontId="4" fillId="11" borderId="0" xfId="0" applyNumberFormat="1" applyFont="1" applyFill="1" applyAlignment="1">
      <alignment horizontal="left" vertical="top"/>
    </xf>
    <xf numFmtId="4" fontId="5" fillId="11" borderId="0" xfId="0" applyNumberFormat="1" applyFont="1" applyFill="1" applyAlignment="1">
      <alignment horizontal="right" vertical="top" wrapText="1"/>
    </xf>
    <xf numFmtId="9" fontId="0" fillId="11" borderId="0" xfId="7" applyFont="1" applyFill="1"/>
    <xf numFmtId="172" fontId="0" fillId="11" borderId="0" xfId="0" applyNumberFormat="1" applyFill="1"/>
    <xf numFmtId="173" fontId="14" fillId="4" borderId="1" xfId="0" applyNumberFormat="1" applyFont="1" applyFill="1" applyBorder="1" applyAlignment="1">
      <alignment horizontal="right"/>
    </xf>
    <xf numFmtId="165" fontId="14" fillId="4" borderId="0" xfId="0" applyNumberFormat="1" applyFont="1" applyFill="1" applyAlignment="1" applyProtection="1">
      <alignment horizontal="right"/>
      <protection locked="0"/>
    </xf>
    <xf numFmtId="2" fontId="2" fillId="0" borderId="0" xfId="0" applyNumberFormat="1" applyFont="1"/>
    <xf numFmtId="168" fontId="0" fillId="0" borderId="0" xfId="0" applyNumberFormat="1"/>
    <xf numFmtId="168" fontId="0" fillId="8" borderId="0" xfId="0" applyNumberFormat="1" applyFill="1" applyAlignment="1">
      <alignment horizontal="right"/>
    </xf>
    <xf numFmtId="1" fontId="0" fillId="7" borderId="0" xfId="0" applyNumberFormat="1" applyFill="1" applyAlignment="1">
      <alignment horizontal="center"/>
    </xf>
    <xf numFmtId="1" fontId="0" fillId="0" borderId="0" xfId="0" applyNumberFormat="1" applyAlignment="1">
      <alignment horizontal="right" wrapText="1"/>
    </xf>
    <xf numFmtId="0" fontId="0" fillId="0" borderId="0" xfId="0" applyAlignment="1">
      <alignment horizontal="right" wrapText="1"/>
    </xf>
  </cellXfs>
  <cellStyles count="9">
    <cellStyle name="Gut" xfId="6" builtinId="26"/>
    <cellStyle name="Hyperlink_Steuertarif_BE_2_Pers" xfId="2" xr:uid="{00000000-0005-0000-0000-000002000000}"/>
    <cellStyle name="Link" xfId="1" builtinId="8"/>
    <cellStyle name="Prozent" xfId="7" builtinId="5"/>
    <cellStyle name="Prozent 2" xfId="8" xr:uid="{00000000-0005-0000-0000-000004000000}"/>
    <cellStyle name="Standard" xfId="0" builtinId="0"/>
    <cellStyle name="Standard 2" xfId="3" xr:uid="{00000000-0005-0000-0000-000006000000}"/>
    <cellStyle name="Standard 3" xfId="5" xr:uid="{00000000-0005-0000-0000-000007000000}"/>
    <cellStyle name="Standard_Tabelle" xfId="4" xr:uid="{00000000-0005-0000-0000-000008000000}"/>
  </cellStyles>
  <dxfs count="82">
    <dxf>
      <fill>
        <patternFill>
          <bgColor rgb="FFCCFFCC"/>
        </patternFill>
      </fill>
    </dxf>
    <dxf>
      <font>
        <color rgb="FF9C0006"/>
      </font>
      <fill>
        <patternFill>
          <bgColor rgb="FFFFC7CE"/>
        </patternFill>
      </fill>
    </dxf>
    <dxf>
      <font>
        <sz val="10"/>
        <name val="Basic Sans"/>
      </font>
      <fill>
        <patternFill patternType="solid">
          <bgColor rgb="FFFFC7CE"/>
        </patternFill>
      </fill>
    </dxf>
    <dxf>
      <fill>
        <patternFill>
          <bgColor indexed="29"/>
        </patternFill>
      </fill>
    </dxf>
    <dxf>
      <font>
        <sz val="10"/>
        <name val="Basic Sans"/>
      </font>
      <fill>
        <patternFill patternType="solid">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numFmt numFmtId="0" formatCode="General"/>
    </dxf>
    <dxf>
      <font>
        <sz val="10"/>
        <name val="Basic Sans"/>
      </font>
      <fill>
        <patternFill patternType="solid">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patternType="none">
          <bgColor auto="1"/>
        </patternFill>
      </fill>
    </dxf>
    <dxf>
      <fill>
        <patternFill>
          <bgColor theme="5" tint="0.59996337778862885"/>
        </patternFill>
      </fill>
    </dxf>
    <dxf>
      <fill>
        <patternFill patternType="none">
          <bgColor auto="1"/>
        </patternFill>
      </fill>
    </dxf>
    <dxf>
      <fill>
        <patternFill>
          <bgColor theme="5" tint="0.59996337778862885"/>
        </patternFill>
      </fill>
    </dxf>
    <dxf>
      <fill>
        <patternFill patternType="none">
          <bgColor auto="1"/>
        </patternFill>
      </fill>
    </dxf>
    <dxf>
      <fill>
        <patternFill>
          <bgColor theme="5" tint="0.59996337778862885"/>
        </patternFill>
      </fill>
    </dxf>
    <dxf>
      <fill>
        <patternFill patternType="none">
          <bgColor auto="1"/>
        </patternFill>
      </fill>
    </dxf>
    <dxf>
      <fill>
        <patternFill patternType="none">
          <bgColor auto="1"/>
        </patternFill>
      </fill>
    </dxf>
    <dxf>
      <fill>
        <patternFill>
          <bgColor theme="5" tint="0.59996337778862885"/>
        </patternFill>
      </fill>
    </dxf>
    <dxf>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none">
          <bgColor auto="1"/>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59996337778862885"/>
        </patternFill>
      </fill>
    </dxf>
    <dxf>
      <fill>
        <patternFill patternType="none">
          <bgColor auto="1"/>
        </patternFill>
      </fill>
    </dxf>
    <dxf>
      <fill>
        <patternFill>
          <bgColor indexed="29"/>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5" tint="0.59996337778862885"/>
        </patternFill>
      </fill>
    </dxf>
    <dxf>
      <font>
        <color auto="1"/>
      </font>
      <fill>
        <patternFill>
          <bgColor theme="5" tint="0.59996337778862885"/>
        </patternFill>
      </fill>
    </dxf>
    <dxf>
      <fill>
        <patternFill>
          <bgColor theme="5"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7CE"/>
      <color rgb="FFFFFFCC"/>
      <color rgb="FFFF808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9525</xdr:colOff>
      <xdr:row>2</xdr:row>
      <xdr:rowOff>142875</xdr:rowOff>
    </xdr:from>
    <xdr:to>
      <xdr:col>6</xdr:col>
      <xdr:colOff>655330</xdr:colOff>
      <xdr:row>4</xdr:row>
      <xdr:rowOff>7739</xdr:rowOff>
    </xdr:to>
    <xdr:sp macro="[0]!Steuerberechnung_Hauptblatt" textlink="">
      <xdr:nvSpPr>
        <xdr:cNvPr id="3" name="Text 1">
          <a:extLst>
            <a:ext uri="{FF2B5EF4-FFF2-40B4-BE49-F238E27FC236}">
              <a16:creationId xmlns:a16="http://schemas.microsoft.com/office/drawing/2014/main" id="{00000000-0008-0000-0000-000003000000}"/>
            </a:ext>
          </a:extLst>
        </xdr:cNvPr>
        <xdr:cNvSpPr txBox="1">
          <a:spLocks noChangeArrowheads="1"/>
        </xdr:cNvSpPr>
      </xdr:nvSpPr>
      <xdr:spPr bwMode="auto">
        <a:xfrm>
          <a:off x="5543550" y="466725"/>
          <a:ext cx="1360180" cy="255389"/>
        </a:xfrm>
        <a:prstGeom prst="rect">
          <a:avLst/>
        </a:prstGeom>
        <a:solidFill>
          <a:srgbClr val="FF8080">
            <a:alpha val="50000"/>
          </a:srgbClr>
        </a:solidFill>
        <a:ln w="9525">
          <a:solidFill>
            <a:srgbClr val="000000"/>
          </a:solidFill>
          <a:miter lim="800000"/>
          <a:headEnd/>
          <a:tailEnd/>
        </a:ln>
      </xdr:spPr>
      <xdr:txBody>
        <a:bodyPr vertOverflow="clip" wrap="square" lIns="27432" tIns="27432" rIns="27432"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de-CH" sz="1100" b="1" i="0" u="none" strike="noStrike" kern="0" cap="none" spc="0" normalizeH="0" baseline="0" noProof="0">
              <a:ln>
                <a:noFill/>
              </a:ln>
              <a:solidFill>
                <a:srgbClr val="000000"/>
              </a:solidFill>
              <a:effectLst/>
              <a:uLnTx/>
              <a:uFillTx/>
              <a:latin typeface="Arial"/>
              <a:cs typeface="Arial"/>
            </a:rPr>
            <a:t>Berechnen/calcul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380999</xdr:colOff>
      <xdr:row>2</xdr:row>
      <xdr:rowOff>238125</xdr:rowOff>
    </xdr:from>
    <xdr:to>
      <xdr:col>6</xdr:col>
      <xdr:colOff>228600</xdr:colOff>
      <xdr:row>3</xdr:row>
      <xdr:rowOff>112514</xdr:rowOff>
    </xdr:to>
    <xdr:sp macro="[0]!uR" textlink="">
      <xdr:nvSpPr>
        <xdr:cNvPr id="3" name="Text 1">
          <a:extLst>
            <a:ext uri="{FF2B5EF4-FFF2-40B4-BE49-F238E27FC236}">
              <a16:creationId xmlns:a16="http://schemas.microsoft.com/office/drawing/2014/main" id="{00000000-0008-0000-0100-000003000000}"/>
            </a:ext>
          </a:extLst>
        </xdr:cNvPr>
        <xdr:cNvSpPr txBox="1">
          <a:spLocks noChangeArrowheads="1"/>
        </xdr:cNvSpPr>
      </xdr:nvSpPr>
      <xdr:spPr bwMode="auto">
        <a:xfrm>
          <a:off x="5581649" y="514350"/>
          <a:ext cx="571501" cy="255389"/>
        </a:xfrm>
        <a:prstGeom prst="rect">
          <a:avLst/>
        </a:prstGeom>
        <a:solidFill>
          <a:srgbClr val="FF8080">
            <a:alpha val="50000"/>
          </a:srgbClr>
        </a:solidFill>
        <a:ln w="9525">
          <a:solidFill>
            <a:srgbClr val="000000"/>
          </a:solidFill>
          <a:miter lim="800000"/>
          <a:headEnd/>
          <a:tailEnd/>
        </a:ln>
      </xdr:spPr>
      <xdr:txBody>
        <a:bodyPr vertOverflow="clip" wrap="square" lIns="27432" tIns="27432" rIns="27432" bIns="27432" anchor="ctr" upright="1"/>
        <a:lstStyle/>
        <a:p>
          <a:pPr algn="ctr" rtl="0">
            <a:defRPr sz="1000"/>
          </a:pPr>
          <a:r>
            <a:rPr lang="de-CH" sz="1100" b="1" i="0" strike="noStrike">
              <a:solidFill>
                <a:srgbClr val="000000"/>
              </a:solidFill>
              <a:latin typeface="Arial"/>
              <a:cs typeface="Arial"/>
            </a:rPr>
            <a:t>uR/AJ</a:t>
          </a:r>
        </a:p>
      </xdr:txBody>
    </xdr:sp>
    <xdr:clientData/>
  </xdr:twoCellAnchor>
  <xdr:twoCellAnchor>
    <xdr:from>
      <xdr:col>6</xdr:col>
      <xdr:colOff>304800</xdr:colOff>
      <xdr:row>2</xdr:row>
      <xdr:rowOff>238125</xdr:rowOff>
    </xdr:from>
    <xdr:to>
      <xdr:col>8</xdr:col>
      <xdr:colOff>398155</xdr:colOff>
      <xdr:row>3</xdr:row>
      <xdr:rowOff>112514</xdr:rowOff>
    </xdr:to>
    <xdr:sp macro="[0]!Steuerberechnung_Unterhaltsblatt" textlink="">
      <xdr:nvSpPr>
        <xdr:cNvPr id="5" name="Text 1">
          <a:extLst>
            <a:ext uri="{FF2B5EF4-FFF2-40B4-BE49-F238E27FC236}">
              <a16:creationId xmlns:a16="http://schemas.microsoft.com/office/drawing/2014/main" id="{00000000-0008-0000-0100-000005000000}"/>
            </a:ext>
          </a:extLst>
        </xdr:cNvPr>
        <xdr:cNvSpPr txBox="1">
          <a:spLocks noChangeArrowheads="1"/>
        </xdr:cNvSpPr>
      </xdr:nvSpPr>
      <xdr:spPr bwMode="auto">
        <a:xfrm>
          <a:off x="6229350" y="514350"/>
          <a:ext cx="1360180" cy="255389"/>
        </a:xfrm>
        <a:prstGeom prst="rect">
          <a:avLst/>
        </a:prstGeom>
        <a:solidFill>
          <a:srgbClr val="FF8080">
            <a:alpha val="50000"/>
          </a:srgbClr>
        </a:solidFill>
        <a:ln w="9525">
          <a:solidFill>
            <a:srgbClr val="000000"/>
          </a:solidFill>
          <a:miter lim="800000"/>
          <a:headEnd/>
          <a:tailEnd/>
        </a:ln>
      </xdr:spPr>
      <xdr:txBody>
        <a:bodyPr vertOverflow="clip" wrap="square" lIns="27432" tIns="27432" rIns="27432"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de-CH" sz="1100" b="1" i="0" u="none" strike="noStrike" kern="0" cap="none" spc="0" normalizeH="0" baseline="0" noProof="0">
              <a:ln>
                <a:noFill/>
              </a:ln>
              <a:solidFill>
                <a:srgbClr val="000000"/>
              </a:solidFill>
              <a:effectLst/>
              <a:uLnTx/>
              <a:uFillTx/>
              <a:latin typeface="Arial"/>
              <a:cs typeface="Arial"/>
            </a:rPr>
            <a:t>Berechnen/calcul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552450</xdr:colOff>
      <xdr:row>1</xdr:row>
      <xdr:rowOff>125731</xdr:rowOff>
    </xdr:from>
    <xdr:to>
      <xdr:col>6</xdr:col>
      <xdr:colOff>1931</xdr:colOff>
      <xdr:row>4</xdr:row>
      <xdr:rowOff>28575</xdr:rowOff>
    </xdr:to>
    <xdr:sp macro="[0]!Uebertragung_Vorsorge" textlink="">
      <xdr:nvSpPr>
        <xdr:cNvPr id="3" name="Text 1">
          <a:extLst>
            <a:ext uri="{FF2B5EF4-FFF2-40B4-BE49-F238E27FC236}">
              <a16:creationId xmlns:a16="http://schemas.microsoft.com/office/drawing/2014/main" id="{00000000-0008-0000-0300-000003000000}"/>
            </a:ext>
          </a:extLst>
        </xdr:cNvPr>
        <xdr:cNvSpPr txBox="1">
          <a:spLocks noChangeArrowheads="1"/>
        </xdr:cNvSpPr>
      </xdr:nvSpPr>
      <xdr:spPr bwMode="auto">
        <a:xfrm>
          <a:off x="5334000" y="287656"/>
          <a:ext cx="1106831" cy="455294"/>
        </a:xfrm>
        <a:prstGeom prst="rect">
          <a:avLst/>
        </a:prstGeom>
        <a:solidFill>
          <a:srgbClr val="FF8080">
            <a:alpha val="50000"/>
          </a:srgbClr>
        </a:solidFill>
        <a:ln w="9525">
          <a:solidFill>
            <a:srgbClr val="000000"/>
          </a:solidFill>
          <a:miter lim="800000"/>
          <a:headEnd/>
          <a:tailEnd/>
        </a:ln>
      </xdr:spPr>
      <xdr:txBody>
        <a:bodyPr vertOverflow="clip" wrap="square" lIns="27432" tIns="27432" rIns="27432" bIns="27432" anchor="ctr" upright="1"/>
        <a:lstStyle/>
        <a:p>
          <a:pPr algn="ctr" rtl="0">
            <a:defRPr sz="1000"/>
          </a:pPr>
          <a:r>
            <a:rPr lang="de-CH" sz="1100" b="1" i="0" strike="noStrike">
              <a:solidFill>
                <a:srgbClr val="000000"/>
              </a:solidFill>
              <a:latin typeface="Arial"/>
              <a:cs typeface="Arial"/>
            </a:rPr>
            <a:t>Übertragen/</a:t>
          </a:r>
          <a:br>
            <a:rPr lang="de-CH" sz="1100" b="1" i="0" strike="noStrike">
              <a:solidFill>
                <a:srgbClr val="000000"/>
              </a:solidFill>
              <a:latin typeface="Arial"/>
              <a:cs typeface="Arial"/>
            </a:rPr>
          </a:br>
          <a:r>
            <a:rPr lang="de-CH" sz="1100" b="1" i="0" strike="noStrike">
              <a:solidFill>
                <a:srgbClr val="000000"/>
              </a:solidFill>
              <a:latin typeface="Arial"/>
              <a:cs typeface="Arial"/>
            </a:rPr>
            <a:t>reporter</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erechnungsblaetter.ch/"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berechnungsblaetter.ch/"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www.berechnungsblaetter.ch/"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bger.ch/ext/eurospider/live/de/php/aza/http/index.php?lang=de&amp;type=highlight_simple_query&amp;page=1&amp;from_date=&amp;to_date=&amp;sort=relevance&amp;insertion_date=&amp;top_subcollection_aza=all&amp;query_words=5A_899%2F2012&amp;rank=1&amp;azaclir=aza&amp;highlight_docid=aza%3A%2F%2F18-02-2013-5A_899-2012&amp;number_of_ranks=4" TargetMode="External"/><Relationship Id="rId7" Type="http://schemas.openxmlformats.org/officeDocument/2006/relationships/comments" Target="../comments5.xml"/><Relationship Id="rId2" Type="http://schemas.openxmlformats.org/officeDocument/2006/relationships/hyperlink" Target="https://www.bger.ch/ext/eurospider/live/de/php/aza/http/index.php?lang=de&amp;type=highlight_simple_query&amp;page=1&amp;from_date=&amp;to_date=&amp;sort=relevance&amp;insertion_date=&amp;top_subcollection_aza=all&amp;query_words=5A_210%2F2008&amp;rank=1&amp;azaclir=aza&amp;highlight_docid=aza%3A%2F%2F14-11-2008-5A_210-2008&amp;number_of_ranks=28" TargetMode="External"/><Relationship Id="rId1" Type="http://schemas.openxmlformats.org/officeDocument/2006/relationships/hyperlink" Target="http://www.berechnungsblaetter.ch/" TargetMode="External"/><Relationship Id="rId6" Type="http://schemas.openxmlformats.org/officeDocument/2006/relationships/vmlDrawing" Target="../drawings/vmlDrawing5.vml"/><Relationship Id="rId5" Type="http://schemas.openxmlformats.org/officeDocument/2006/relationships/drawing" Target="../drawings/drawing3.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berechnungsblaetter.ch/"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www.berechnungsblaetter.ch/"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berechnungsblaetter.c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tabColor rgb="FFCCFFCC"/>
  </sheetPr>
  <dimension ref="A1:I144"/>
  <sheetViews>
    <sheetView tabSelected="1" zoomScaleNormal="100" workbookViewId="0">
      <selection activeCell="E2" sqref="E2"/>
      <extLst>
        <ext xmlns:xlsdti="http://schemas.microsoft.com/office/spreadsheetml/2023/showDataTypeIcons" uri="{77bfe23e-c014-4d31-8a63-9c772dbf06b6}">
          <xlsdti:showDataTypeIcons visible="0"/>
        </ext>
      </extLst>
    </sheetView>
  </sheetViews>
  <sheetFormatPr baseColWidth="10" defaultRowHeight="13.2" x14ac:dyDescent="0.25"/>
  <cols>
    <col min="1" max="1" width="40.109375" style="218" customWidth="1"/>
    <col min="2" max="7" width="10.6640625" style="116" customWidth="1"/>
    <col min="8" max="8" width="11.109375" style="227" customWidth="1"/>
  </cols>
  <sheetData>
    <row r="1" spans="1:8" x14ac:dyDescent="0.25">
      <c r="A1" s="217" t="str">
        <f>IF($E$2="f","Auteurs :","Autoren:")</f>
        <v>Autoren:</v>
      </c>
      <c r="C1" s="234">
        <f ca="1">TODAY()</f>
        <v>45926</v>
      </c>
      <c r="E1" s="23" t="s">
        <v>68</v>
      </c>
      <c r="F1" s="4"/>
      <c r="G1" s="4"/>
      <c r="H1" s="99" t="s">
        <v>164</v>
      </c>
    </row>
    <row r="2" spans="1:8" x14ac:dyDescent="0.25">
      <c r="A2" s="227" t="s">
        <v>184</v>
      </c>
      <c r="B2" s="227"/>
      <c r="C2" s="2"/>
      <c r="E2" s="151" t="s">
        <v>116</v>
      </c>
      <c r="F2" s="4"/>
      <c r="G2" s="4"/>
      <c r="H2" s="228" t="str">
        <f>IF($E$2="f","Édition octobre 2025","Auflage Oktober 2025")</f>
        <v>Auflage Oktober 2025</v>
      </c>
    </row>
    <row r="3" spans="1:8" x14ac:dyDescent="0.25">
      <c r="H3" s="235"/>
    </row>
    <row r="4" spans="1:8" ht="17.399999999999999" x14ac:dyDescent="0.3">
      <c r="A4" s="230" t="str">
        <f>IF($E$2="f","Calcul des contributions d'entretien","Berechnungstabelle für Unterhaltsbeiträge")</f>
        <v>Berechnungstabelle für Unterhaltsbeiträge</v>
      </c>
      <c r="D4" s="229" t="str">
        <f>IF($E$2="f","Méthode frais de","Lebenskosten-")</f>
        <v>Lebenskosten-</v>
      </c>
      <c r="H4" s="133">
        <v>2026</v>
      </c>
    </row>
    <row r="5" spans="1:8" x14ac:dyDescent="0.25">
      <c r="D5" s="229" t="str">
        <f>IF($E$2="f","subsistance","methode")</f>
        <v>methode</v>
      </c>
    </row>
    <row r="6" spans="1:8" x14ac:dyDescent="0.25">
      <c r="A6" s="217" t="str">
        <f>IF($E$2="f","Noms :","Namen:")</f>
        <v>Namen:</v>
      </c>
      <c r="E6" s="253" t="str">
        <f>IF($E$2="f","mariés/divorcés (o/n)","verheiratet/geschieden (j/n)")</f>
        <v>verheiratet/geschieden (j/n)</v>
      </c>
      <c r="H6" s="235" t="str">
        <f>IF($E$2="f","Date de la séparation :","Trennungsdatum:")</f>
        <v>Trennungsdatum:</v>
      </c>
    </row>
    <row r="7" spans="1:8" x14ac:dyDescent="0.25">
      <c r="A7" s="226" t="s">
        <v>185</v>
      </c>
      <c r="C7" s="357" t="str">
        <f>IF($E$2="f","Parent qui assure la prise en charge principale (n2)","haupt-betreuend (n2)")</f>
        <v>haupt-betreuend (n2)</v>
      </c>
      <c r="E7" s="252" t="s">
        <v>117</v>
      </c>
      <c r="F7" s="235"/>
      <c r="H7" s="236"/>
    </row>
    <row r="8" spans="1:8" ht="12.75" customHeight="1" x14ac:dyDescent="0.25">
      <c r="A8" s="226"/>
      <c r="B8" s="115"/>
      <c r="C8" s="358"/>
      <c r="F8" s="235"/>
      <c r="G8" s="235"/>
      <c r="H8" s="235" t="str">
        <f>IF($E$2="f","Nombre de mois/année pour le calcul :","Anzahl Monate/Jahr für Berechnung:")</f>
        <v>Anzahl Monate/Jahr für Berechnung:</v>
      </c>
    </row>
    <row r="9" spans="1:8" x14ac:dyDescent="0.25">
      <c r="A9" s="164"/>
      <c r="B9" s="115"/>
      <c r="C9" s="358"/>
      <c r="F9" s="235"/>
      <c r="H9" s="237">
        <f>IF(YEAR(H7)=H4,ROUND((12-MONTH($H$7)+1-(DAY($H$7)/30))/5,1)*5,12)</f>
        <v>12</v>
      </c>
    </row>
    <row r="10" spans="1:8" ht="37.5" customHeight="1" x14ac:dyDescent="0.25">
      <c r="A10" s="164"/>
      <c r="B10" s="282" t="str">
        <f>IF($E$2="f","Débiteur de l'entretien (n1)","unterhalts-pflichtig (n1)")</f>
        <v>unterhalts-pflichtig (n1)</v>
      </c>
      <c r="C10" s="358"/>
      <c r="F10" s="235"/>
      <c r="H10"/>
    </row>
    <row r="11" spans="1:8" x14ac:dyDescent="0.25">
      <c r="A11" s="218" t="str">
        <f>IF($E$2="f","Nom/indication","Name/Bezeichnung")</f>
        <v>Name/Bezeichnung</v>
      </c>
      <c r="B11" s="228" t="s">
        <v>186</v>
      </c>
      <c r="C11" s="228" t="s">
        <v>187</v>
      </c>
      <c r="D11" s="228" t="s">
        <v>188</v>
      </c>
      <c r="E11" s="228" t="s">
        <v>189</v>
      </c>
      <c r="F11" s="228"/>
      <c r="G11" s="228"/>
    </row>
    <row r="12" spans="1:8" x14ac:dyDescent="0.25">
      <c r="A12" s="164" t="str">
        <f>IF($E$2="f","Année de naissance","Jahrgang")</f>
        <v>Jahrgang</v>
      </c>
      <c r="B12" s="231">
        <v>1977</v>
      </c>
      <c r="C12" s="231">
        <v>1978</v>
      </c>
      <c r="D12" s="231">
        <v>2013</v>
      </c>
      <c r="E12" s="231">
        <v>2017</v>
      </c>
      <c r="F12" s="249"/>
      <c r="G12" s="249"/>
      <c r="H12" s="290"/>
    </row>
    <row r="13" spans="1:8" x14ac:dyDescent="0.25">
      <c r="A13" s="164" t="str">
        <f>IF($E$2="f","Âge","Alter")</f>
        <v>Alter</v>
      </c>
      <c r="B13" s="116">
        <v>49</v>
      </c>
      <c r="C13" s="116">
        <v>48</v>
      </c>
      <c r="D13" s="116">
        <v>13</v>
      </c>
      <c r="E13" s="116">
        <v>9</v>
      </c>
      <c r="F13" s="116" t="str">
        <f t="shared" ref="F13:G13" si="0">IF(F12="","",$H$4-F12)</f>
        <v/>
      </c>
      <c r="G13" s="116" t="str">
        <f t="shared" si="0"/>
        <v/>
      </c>
      <c r="H13" s="52"/>
    </row>
    <row r="14" spans="1:8" x14ac:dyDescent="0.25">
      <c r="A14" s="164" t="str">
        <f>IF($E$2="f","Canton de domicile (plaque automobile)","Wohnsitzkanton (Autokennzeichen)")</f>
        <v>Wohnsitzkanton (Autokennzeichen)</v>
      </c>
      <c r="B14" s="243" t="s">
        <v>18</v>
      </c>
      <c r="C14" s="243" t="s">
        <v>18</v>
      </c>
      <c r="H14" s="52"/>
    </row>
    <row r="15" spans="1:8" x14ac:dyDescent="0.25">
      <c r="A15" s="164" t="str">
        <f>IF($E$2="f","Communauté de ménage (o/n)","Wohngemeinschaft (j/n)")</f>
        <v>Wohngemeinschaft (j/n)</v>
      </c>
      <c r="B15" s="240" t="s">
        <v>56</v>
      </c>
      <c r="C15" s="241" t="s">
        <v>56</v>
      </c>
      <c r="H15" s="52"/>
    </row>
    <row r="16" spans="1:8" x14ac:dyDescent="0.25">
      <c r="A16" s="164" t="str">
        <f>IF($E$2="f","Degré d’occupation","Beschäftigungsgrad")</f>
        <v>Beschäftigungsgrad</v>
      </c>
      <c r="B16" s="265">
        <v>1</v>
      </c>
      <c r="C16" s="265">
        <v>0.3</v>
      </c>
      <c r="H16" s="52"/>
    </row>
    <row r="17" spans="1:8" x14ac:dyDescent="0.25">
      <c r="A17" s="164" t="str">
        <f>IF($E$2="f","Revenu net à 100%","Nettoeinkommen bei 100%")</f>
        <v>Nettoeinkommen bei 100%</v>
      </c>
      <c r="B17" s="266">
        <v>10000</v>
      </c>
      <c r="C17" s="266">
        <v>6000</v>
      </c>
      <c r="H17" s="52"/>
    </row>
    <row r="18" spans="1:8" x14ac:dyDescent="0.25">
      <c r="A18" s="164" t="str">
        <f>IF($E$2="f","Réception allocation familiale (n2/n1)","Bezug Familienzulage (n2/n1)")</f>
        <v>Bezug Familienzulage (n2/n1)</v>
      </c>
      <c r="D18" s="246" t="s">
        <v>166</v>
      </c>
      <c r="E18" s="246" t="s">
        <v>166</v>
      </c>
      <c r="F18" s="246"/>
      <c r="G18" s="246"/>
      <c r="H18" s="52"/>
    </row>
    <row r="19" spans="1:8" x14ac:dyDescent="0.25">
      <c r="A19" s="164" t="str">
        <f>IF($E$2="f","Contribution de prévoyance (o/n)","Vorsorgeunterhalt (j/n)")</f>
        <v>Vorsorgeunterhalt (j/n)</v>
      </c>
      <c r="C19" s="241" t="s">
        <v>117</v>
      </c>
      <c r="D19" s="116" t="s">
        <v>190</v>
      </c>
      <c r="H19" s="52"/>
    </row>
    <row r="20" spans="1:8" x14ac:dyDescent="0.25">
      <c r="A20" s="164" t="str">
        <f>IF($E$2="f","Epargne (montant)","Sparquote (Betrag)")</f>
        <v>Sparquote (Betrag)</v>
      </c>
      <c r="B20" s="356"/>
      <c r="C20" s="356"/>
      <c r="H20" s="52"/>
    </row>
    <row r="21" spans="1:8" x14ac:dyDescent="0.25">
      <c r="A21" s="164" t="str">
        <f>IF($E$2="f","Part à l'épargne (%)","Anteil Sparquote (%)")</f>
        <v>Anteil Sparquote (%)</v>
      </c>
      <c r="B21" s="316" t="s">
        <v>190</v>
      </c>
      <c r="C21" s="317" t="s">
        <v>190</v>
      </c>
      <c r="H21" s="52"/>
    </row>
    <row r="24" spans="1:8" ht="15.6" x14ac:dyDescent="0.3">
      <c r="A24" s="219" t="str">
        <f>IF($E$2="f","1. Moyens disponibles","1. Verfügbare Mittel")</f>
        <v>1. Verfügbare Mittel</v>
      </c>
      <c r="H24" s="52" t="s">
        <v>0</v>
      </c>
    </row>
    <row r="26" spans="1:8" x14ac:dyDescent="0.25">
      <c r="A26" s="218" t="str">
        <f>IF($E$2="f","Revenu net","Nettoeinkommen")</f>
        <v>Nettoeinkommen</v>
      </c>
      <c r="B26" s="118">
        <v>10000</v>
      </c>
      <c r="C26" s="118">
        <v>1800</v>
      </c>
      <c r="D26" s="251"/>
      <c r="E26" s="251"/>
      <c r="F26" s="251"/>
      <c r="G26" s="251"/>
      <c r="H26" s="227">
        <v>11800</v>
      </c>
    </row>
    <row r="27" spans="1:8" x14ac:dyDescent="0.25">
      <c r="A27" s="152" t="str">
        <f>IF($E$2="f","13ème salaire","13. Monatslohn")</f>
        <v>13. Monatslohn</v>
      </c>
      <c r="B27" s="239">
        <v>833.33333333333337</v>
      </c>
      <c r="C27" s="239">
        <v>150</v>
      </c>
      <c r="D27" s="251"/>
      <c r="E27" s="251"/>
      <c r="F27" s="251"/>
      <c r="G27" s="251"/>
      <c r="H27" s="227">
        <v>983.33333333333337</v>
      </c>
    </row>
    <row r="28" spans="1:8" x14ac:dyDescent="0.25">
      <c r="A28" s="218" t="str">
        <f>IF($E$2="f","Revenu accessoire","Zusatzeinkommen")</f>
        <v>Zusatzeinkommen</v>
      </c>
      <c r="B28" s="238"/>
      <c r="C28" s="238"/>
      <c r="D28" s="251"/>
      <c r="E28" s="251"/>
      <c r="F28" s="251"/>
      <c r="G28" s="251"/>
      <c r="H28" s="227">
        <v>0</v>
      </c>
    </row>
    <row r="29" spans="1:8" x14ac:dyDescent="0.25">
      <c r="A29" s="152" t="str">
        <f>IF($E$2="f","Revenu autre activité lucrative","Nebenerwerbseinkommen")</f>
        <v>Nebenerwerbseinkommen</v>
      </c>
      <c r="B29" s="238"/>
      <c r="C29" s="238"/>
      <c r="D29" s="251"/>
      <c r="E29" s="251"/>
      <c r="F29" s="251"/>
      <c r="G29" s="251"/>
      <c r="H29" s="227">
        <v>0</v>
      </c>
    </row>
    <row r="30" spans="1:8" x14ac:dyDescent="0.25">
      <c r="A30" s="152" t="str">
        <f>IF($E$2="f","Allocations familiales","Familienzulagen")</f>
        <v>Familienzulagen</v>
      </c>
      <c r="B30" s="26" t="s">
        <v>6</v>
      </c>
      <c r="C30" s="26" t="s">
        <v>6</v>
      </c>
      <c r="D30" s="238">
        <v>250</v>
      </c>
      <c r="E30" s="238">
        <v>250</v>
      </c>
      <c r="F30" s="238" t="s">
        <v>190</v>
      </c>
      <c r="G30" s="238" t="s">
        <v>190</v>
      </c>
      <c r="H30" s="227">
        <v>500</v>
      </c>
    </row>
    <row r="31" spans="1:8" x14ac:dyDescent="0.25">
      <c r="A31" s="152" t="str">
        <f>IF($E$2="f","Allocations familiales autres enfants","Familienzulagen andere Kinder")</f>
        <v>Familienzulagen andere Kinder</v>
      </c>
      <c r="B31" s="264"/>
      <c r="C31" s="264"/>
      <c r="D31" s="250" t="s">
        <v>6</v>
      </c>
      <c r="E31" s="250" t="s">
        <v>6</v>
      </c>
      <c r="F31" s="250" t="s">
        <v>6</v>
      </c>
      <c r="G31" s="250" t="s">
        <v>6</v>
      </c>
      <c r="H31" s="227">
        <v>0</v>
      </c>
    </row>
    <row r="32" spans="1:8" x14ac:dyDescent="0.25">
      <c r="A32" s="224" t="str">
        <f>IF($E$2="f","Rente AVS/AI","Rente AHV/IV")</f>
        <v>Rente AHV/IV</v>
      </c>
      <c r="B32" s="239"/>
      <c r="C32" s="239"/>
      <c r="D32" s="238"/>
      <c r="E32" s="238"/>
      <c r="F32" s="238"/>
      <c r="G32" s="238"/>
      <c r="H32" s="227">
        <v>0</v>
      </c>
    </row>
    <row r="33" spans="1:8" x14ac:dyDescent="0.25">
      <c r="A33" s="224" t="str">
        <f>IF($E$2="f","Rente prévoyance professionnelle","Rente berufliche Vorsorge")</f>
        <v>Rente berufliche Vorsorge</v>
      </c>
      <c r="B33" s="239"/>
      <c r="C33" s="239"/>
      <c r="D33" s="238"/>
      <c r="E33" s="238"/>
      <c r="F33" s="238"/>
      <c r="G33" s="238"/>
      <c r="H33" s="227">
        <v>0</v>
      </c>
    </row>
    <row r="34" spans="1:8" x14ac:dyDescent="0.25">
      <c r="A34" s="224" t="str">
        <f>IF($E$2="f","Rente assurance-vie","Rente Lebensversicherung")</f>
        <v>Rente Lebensversicherung</v>
      </c>
      <c r="B34" s="239"/>
      <c r="C34" s="239"/>
      <c r="D34" s="238"/>
      <c r="E34" s="238"/>
      <c r="F34" s="238"/>
      <c r="G34" s="238"/>
      <c r="H34" s="227">
        <v>0</v>
      </c>
    </row>
    <row r="35" spans="1:8" x14ac:dyDescent="0.25">
      <c r="A35" s="272" t="str">
        <f>IF($E$2="f","Revenu de la fortune","Vermögensertrag")</f>
        <v>Vermögensertrag</v>
      </c>
      <c r="B35" s="239"/>
      <c r="C35" s="239"/>
      <c r="D35" s="238"/>
      <c r="E35" s="238"/>
      <c r="F35" s="238"/>
      <c r="G35" s="238"/>
      <c r="H35" s="227">
        <v>0</v>
      </c>
    </row>
    <row r="36" spans="1:8" x14ac:dyDescent="0.25">
      <c r="A36" s="272" t="str">
        <f>IF($E$2="f","Contributions d'entretien provenant de tiers","Unterhaltsbeiträge von Dritten")</f>
        <v>Unterhaltsbeiträge von Dritten</v>
      </c>
      <c r="B36" s="239"/>
      <c r="C36" s="239"/>
      <c r="D36" s="238"/>
      <c r="E36" s="238"/>
      <c r="F36" s="238"/>
      <c r="G36" s="238"/>
      <c r="H36" s="227">
        <v>0</v>
      </c>
    </row>
    <row r="37" spans="1:8" s="85" customFormat="1" x14ac:dyDescent="0.25">
      <c r="A37" s="272"/>
      <c r="B37" s="235"/>
      <c r="C37" s="235"/>
      <c r="D37" s="194"/>
      <c r="E37" s="194"/>
      <c r="F37" s="194"/>
      <c r="G37" s="194"/>
      <c r="H37" s="227" t="s">
        <v>190</v>
      </c>
    </row>
    <row r="38" spans="1:8" s="85" customFormat="1" x14ac:dyDescent="0.25">
      <c r="A38" s="224"/>
      <c r="B38" s="194"/>
      <c r="C38" s="194"/>
      <c r="D38" s="194"/>
      <c r="E38" s="194"/>
      <c r="F38" s="194"/>
      <c r="G38" s="194"/>
      <c r="H38" s="227" t="s">
        <v>190</v>
      </c>
    </row>
    <row r="39" spans="1:8" s="85" customFormat="1" x14ac:dyDescent="0.25">
      <c r="A39" s="164"/>
      <c r="B39" s="194"/>
      <c r="C39" s="194"/>
      <c r="D39" s="194"/>
      <c r="E39" s="194"/>
      <c r="F39" s="194"/>
      <c r="G39" s="194"/>
      <c r="H39" s="227" t="s">
        <v>190</v>
      </c>
    </row>
    <row r="40" spans="1:8" s="59" customFormat="1" x14ac:dyDescent="0.25">
      <c r="A40" s="226" t="s">
        <v>0</v>
      </c>
      <c r="B40" s="227">
        <v>10833.333333333334</v>
      </c>
      <c r="C40" s="227">
        <v>1950</v>
      </c>
      <c r="D40" s="227">
        <v>250</v>
      </c>
      <c r="E40" s="227">
        <v>250</v>
      </c>
      <c r="F40" s="227">
        <v>0</v>
      </c>
      <c r="G40" s="227">
        <v>0</v>
      </c>
      <c r="H40" s="227">
        <v>13283.333333333334</v>
      </c>
    </row>
    <row r="41" spans="1:8" s="59" customFormat="1" x14ac:dyDescent="0.25">
      <c r="A41" s="226"/>
      <c r="B41" s="263">
        <v>0.84745762711864403</v>
      </c>
      <c r="C41" s="263">
        <v>0.15254237288135597</v>
      </c>
      <c r="D41" s="227"/>
      <c r="E41" s="227"/>
      <c r="F41" s="227"/>
      <c r="G41" s="227"/>
      <c r="H41" s="227"/>
    </row>
    <row r="42" spans="1:8" x14ac:dyDescent="0.25">
      <c r="A42" s="164"/>
    </row>
    <row r="43" spans="1:8" ht="15.6" x14ac:dyDescent="0.3">
      <c r="A43" s="219" t="str">
        <f>IF($E$2="f","2. Besoins de base","2. Grundbedarf")</f>
        <v>2. Grundbedarf</v>
      </c>
    </row>
    <row r="45" spans="1:8" x14ac:dyDescent="0.25">
      <c r="A45" t="str">
        <f>IF($E$2="f","Montant de base","Grundbetrag")</f>
        <v>Grundbetrag</v>
      </c>
      <c r="B45" s="116">
        <v>1200</v>
      </c>
      <c r="C45" s="116">
        <v>1350</v>
      </c>
      <c r="D45" s="149" t="s">
        <v>6</v>
      </c>
      <c r="E45" s="149" t="s">
        <v>6</v>
      </c>
      <c r="F45" s="149" t="s">
        <v>6</v>
      </c>
      <c r="G45" s="149" t="s">
        <v>6</v>
      </c>
      <c r="H45" s="227">
        <v>2550</v>
      </c>
    </row>
    <row r="46" spans="1:8" x14ac:dyDescent="0.25">
      <c r="A46" s="218" t="str">
        <f>IF($E$2="f","Supplément pour enfants","Zuschlag für Kinder")</f>
        <v>Zuschlag für Kinder</v>
      </c>
      <c r="B46" s="26"/>
      <c r="C46" s="26" t="s">
        <v>6</v>
      </c>
      <c r="D46" s="116">
        <v>600</v>
      </c>
      <c r="E46" s="116">
        <v>400</v>
      </c>
      <c r="F46" s="116" t="s">
        <v>190</v>
      </c>
      <c r="G46" s="116" t="s">
        <v>190</v>
      </c>
      <c r="H46" s="227">
        <v>1000</v>
      </c>
    </row>
    <row r="47" spans="1:8" x14ac:dyDescent="0.25">
      <c r="A47" s="218" t="str">
        <f>IF($E$2="f","./. dans les frais de garde","./. in Drittbetreuungskosten")</f>
        <v>./. in Drittbetreuungskosten</v>
      </c>
      <c r="B47" s="26" t="s">
        <v>6</v>
      </c>
      <c r="C47" s="26" t="s">
        <v>6</v>
      </c>
      <c r="H47" s="227">
        <v>0</v>
      </c>
    </row>
    <row r="48" spans="1:8" x14ac:dyDescent="0.25">
      <c r="A48" s="218" t="str">
        <f>IF($E$2="f","Frais de bail/hypothèque","Miete/Hypothekarzins")</f>
        <v>Miete/Hypothekarzins</v>
      </c>
      <c r="B48" s="235">
        <v>1400</v>
      </c>
      <c r="C48" s="235">
        <v>1600</v>
      </c>
      <c r="D48" s="149" t="s">
        <v>6</v>
      </c>
      <c r="E48" s="149" t="s">
        <v>6</v>
      </c>
      <c r="F48" s="149" t="s">
        <v>6</v>
      </c>
      <c r="G48" s="149" t="s">
        <v>6</v>
      </c>
      <c r="H48" s="227">
        <v>3000</v>
      </c>
    </row>
    <row r="49" spans="1:9" x14ac:dyDescent="0.25">
      <c r="A49" s="220" t="str">
        <f>IF($E$2="f","Frais de logement accessoires","Nebenkosten")</f>
        <v>Nebenkosten</v>
      </c>
      <c r="B49" s="115">
        <v>200</v>
      </c>
      <c r="C49" s="115">
        <v>200</v>
      </c>
      <c r="D49" s="149" t="s">
        <v>6</v>
      </c>
      <c r="E49" s="149" t="s">
        <v>6</v>
      </c>
      <c r="F49" s="149" t="s">
        <v>6</v>
      </c>
      <c r="G49" s="149" t="s">
        <v>6</v>
      </c>
      <c r="H49" s="227">
        <v>400</v>
      </c>
    </row>
    <row r="50" spans="1:9" x14ac:dyDescent="0.25">
      <c r="A50" s="220" t="str">
        <f>IF($E$2="f","./. Part des enfants","Anteil Kinder")</f>
        <v>Anteil Kinder</v>
      </c>
      <c r="C50" s="116">
        <v>-660</v>
      </c>
      <c r="D50" s="231">
        <v>330</v>
      </c>
      <c r="E50" s="231">
        <v>330</v>
      </c>
      <c r="F50" s="231"/>
      <c r="G50" s="231"/>
      <c r="H50" s="227">
        <v>0</v>
      </c>
    </row>
    <row r="51" spans="1:9" x14ac:dyDescent="0.25">
      <c r="A51" s="224" t="str">
        <f>IF($E$2="f","./. Contributions de tiers","./. Wohnbeiträge von Dritten")</f>
        <v>./. Wohnbeiträge von Dritten</v>
      </c>
      <c r="H51" s="227">
        <v>0</v>
      </c>
    </row>
    <row r="52" spans="1:9" x14ac:dyDescent="0.25">
      <c r="A52" s="218" t="str">
        <f>IF($E$2="f","Cotisations assurance-maladie adultes","Krankenversicherungsprämien Erwachsene")</f>
        <v>Krankenversicherungsprämien Erwachsene</v>
      </c>
      <c r="B52" s="118">
        <v>400</v>
      </c>
      <c r="C52" s="118">
        <v>430</v>
      </c>
      <c r="D52" s="235" t="s">
        <v>6</v>
      </c>
      <c r="E52" s="235" t="s">
        <v>6</v>
      </c>
      <c r="F52" s="149" t="s">
        <v>6</v>
      </c>
      <c r="G52" s="149" t="s">
        <v>6</v>
      </c>
      <c r="H52" s="227">
        <v>830</v>
      </c>
    </row>
    <row r="53" spans="1:9" x14ac:dyDescent="0.25">
      <c r="A53" s="221" t="str">
        <f>IF($E$2="f","Cotisations assurance-maladie enfants","Krankenversicherungsprämien Kinder")</f>
        <v>Krankenversicherungsprämien Kinder</v>
      </c>
      <c r="B53" s="284"/>
      <c r="C53" s="284" t="s">
        <v>6</v>
      </c>
      <c r="D53" s="241">
        <v>100</v>
      </c>
      <c r="E53" s="241">
        <v>100</v>
      </c>
      <c r="F53" s="241"/>
      <c r="G53" s="241"/>
      <c r="H53" s="227">
        <v>200</v>
      </c>
    </row>
    <row r="54" spans="1:9" ht="12.75" customHeight="1" x14ac:dyDescent="0.25">
      <c r="A54" s="222" t="str">
        <f>IF($E$2="f","Télécommunications/assurance mobilière","Telekommunikation/Mobiliarversicherung")</f>
        <v>Telekommunikation/Mobiliarversicherung</v>
      </c>
      <c r="B54" s="116">
        <v>100</v>
      </c>
      <c r="C54" s="116">
        <v>100</v>
      </c>
      <c r="D54" s="149"/>
      <c r="E54" s="149"/>
      <c r="F54" s="149"/>
      <c r="G54" s="149"/>
      <c r="H54" s="227">
        <v>200</v>
      </c>
    </row>
    <row r="55" spans="1:9" x14ac:dyDescent="0.25">
      <c r="A55" s="218" t="str">
        <f>IF($E$2="f","Trajets domicile - lieu de travail","Arbeitsweg")</f>
        <v>Arbeitsweg</v>
      </c>
      <c r="B55" s="238">
        <v>120</v>
      </c>
      <c r="C55" s="238">
        <v>50</v>
      </c>
      <c r="D55" s="149"/>
      <c r="E55" s="149"/>
      <c r="F55" s="149"/>
      <c r="G55" s="149"/>
      <c r="H55" s="227">
        <v>170</v>
      </c>
    </row>
    <row r="56" spans="1:9" x14ac:dyDescent="0.25">
      <c r="A56" s="218" t="str">
        <f>IF($E$2="f","Supplément pour repas pris à l'extérieur","Zuschlag für auswärtiges Essen")</f>
        <v>Zuschlag für auswärtiges Essen</v>
      </c>
      <c r="B56" s="238">
        <v>220</v>
      </c>
      <c r="C56" s="238">
        <v>45</v>
      </c>
      <c r="D56" s="149"/>
      <c r="E56" s="149"/>
      <c r="F56" s="149"/>
      <c r="G56" s="149"/>
      <c r="H56" s="227">
        <v>265</v>
      </c>
    </row>
    <row r="57" spans="1:9" x14ac:dyDescent="0.25">
      <c r="A57" s="218" t="str">
        <f>IF($E$2="f","Supplément profession","Berufszuschlag")</f>
        <v>Berufszuschlag</v>
      </c>
      <c r="D57" s="149"/>
      <c r="E57" s="149"/>
      <c r="F57" s="149"/>
      <c r="G57" s="149"/>
      <c r="H57" s="227">
        <v>0</v>
      </c>
    </row>
    <row r="58" spans="1:9" x14ac:dyDescent="0.25">
      <c r="A58" s="218" t="str">
        <f>IF($E$2="f","Impôts courants","Laufende Steuern")</f>
        <v>Laufende Steuern</v>
      </c>
      <c r="B58" s="116">
        <v>689.9842708333332</v>
      </c>
      <c r="C58" s="116">
        <v>445.95498230659001</v>
      </c>
      <c r="D58" s="231">
        <v>160.45230137108183</v>
      </c>
      <c r="E58" s="231">
        <v>138.45800153680202</v>
      </c>
      <c r="F58" s="231" t="s">
        <v>190</v>
      </c>
      <c r="G58" s="231" t="s">
        <v>190</v>
      </c>
      <c r="H58" s="227">
        <v>1434.849556047807</v>
      </c>
    </row>
    <row r="59" spans="1:9" x14ac:dyDescent="0.25">
      <c r="A59" s="164" t="str">
        <f>IF($E$2="f","Remboursement de dettes","Schuldentilgung")</f>
        <v>Schuldentilgung</v>
      </c>
      <c r="D59" s="149" t="s">
        <v>6</v>
      </c>
      <c r="E59" s="149" t="s">
        <v>6</v>
      </c>
      <c r="F59" s="149" t="s">
        <v>6</v>
      </c>
      <c r="G59" s="149" t="s">
        <v>6</v>
      </c>
      <c r="H59" s="227">
        <v>0</v>
      </c>
    </row>
    <row r="60" spans="1:9" x14ac:dyDescent="0.25">
      <c r="A60" s="223" t="str">
        <f>IF($E$2="f","Garde des enfants par de tierces personnes","Drittbetreuung Kinder")</f>
        <v>Drittbetreuung Kinder</v>
      </c>
      <c r="B60" s="26"/>
      <c r="C60" s="26" t="s">
        <v>6</v>
      </c>
      <c r="D60" s="238">
        <v>100</v>
      </c>
      <c r="E60" s="238">
        <v>100</v>
      </c>
      <c r="F60" s="238"/>
      <c r="G60" s="238"/>
      <c r="H60" s="227">
        <v>200</v>
      </c>
    </row>
    <row r="61" spans="1:9" ht="25.5" customHeight="1" x14ac:dyDescent="0.25">
      <c r="A61" s="281" t="str">
        <f>IF($E$2="f","Autres dépenses spéciales pour enfants n2","Weitere besondere Auslagen für Kinder hauptbetreuender Elternteil")</f>
        <v>Weitere besondere Auslagen für Kinder hauptbetreuender Elternteil</v>
      </c>
      <c r="B61" s="26" t="s">
        <v>6</v>
      </c>
      <c r="C61" s="26" t="s">
        <v>6</v>
      </c>
      <c r="D61" s="116">
        <v>100</v>
      </c>
      <c r="E61" s="116">
        <v>80</v>
      </c>
      <c r="H61" s="227">
        <v>180</v>
      </c>
      <c r="I61" s="85"/>
    </row>
    <row r="62" spans="1:9" ht="25.5" customHeight="1" x14ac:dyDescent="0.25">
      <c r="A62" s="281" t="str">
        <f>IF($E$2="f","Autres dépenses spéciales pour enfants n1","Weitere besondere Auslagen für Kinder nicht hauptbetreuender Elternteil")</f>
        <v>Weitere besondere Auslagen für Kinder nicht hauptbetreuender Elternteil</v>
      </c>
      <c r="C62" s="250" t="s">
        <v>6</v>
      </c>
      <c r="D62" s="250" t="s">
        <v>6</v>
      </c>
      <c r="E62" s="250" t="s">
        <v>6</v>
      </c>
      <c r="F62" s="250" t="s">
        <v>6</v>
      </c>
      <c r="G62" s="250" t="s">
        <v>6</v>
      </c>
      <c r="H62" s="227">
        <v>0</v>
      </c>
      <c r="I62" s="85"/>
    </row>
    <row r="63" spans="1:9" x14ac:dyDescent="0.25">
      <c r="A63" s="225" t="str">
        <f>IF($E$2="f","Cotisations d'adhésion associations prof.","Beiträge an Berufsverbände")</f>
        <v>Beiträge an Berufsverbände</v>
      </c>
      <c r="B63" s="194"/>
      <c r="C63" s="194"/>
      <c r="D63" s="149" t="s">
        <v>6</v>
      </c>
      <c r="E63" s="149" t="s">
        <v>6</v>
      </c>
      <c r="F63" s="149" t="s">
        <v>6</v>
      </c>
      <c r="G63" s="149" t="s">
        <v>6</v>
      </c>
      <c r="H63" s="227">
        <v>0</v>
      </c>
    </row>
    <row r="64" spans="1:9" x14ac:dyDescent="0.25">
      <c r="A64" s="224" t="str">
        <f>IF($E$2="f","Formation continue","Weiterbildung")</f>
        <v>Weiterbildung</v>
      </c>
      <c r="B64" s="238"/>
      <c r="C64" s="238"/>
      <c r="D64" s="149" t="s">
        <v>6</v>
      </c>
      <c r="E64" s="149" t="s">
        <v>6</v>
      </c>
      <c r="F64" s="149" t="s">
        <v>6</v>
      </c>
      <c r="G64" s="149" t="s">
        <v>6</v>
      </c>
      <c r="H64" s="227">
        <v>0</v>
      </c>
    </row>
    <row r="65" spans="1:8" x14ac:dyDescent="0.25">
      <c r="A65" s="224" t="str">
        <f>IF($E$2="f","Frais de maladie spéciaux","Besondere Krankheitskosten")</f>
        <v>Besondere Krankheitskosten</v>
      </c>
      <c r="B65" s="238"/>
      <c r="C65" s="238"/>
      <c r="H65" s="227">
        <v>0</v>
      </c>
    </row>
    <row r="66" spans="1:8" x14ac:dyDescent="0.25">
      <c r="A66" s="224" t="str">
        <f>IF($E$2="f","Prévoyance privée/assurances-vie","Private Vorsorge/Lebensversicherungen")</f>
        <v>Private Vorsorge/Lebensversicherungen</v>
      </c>
      <c r="C66" s="248">
        <v>601.54011441549267</v>
      </c>
      <c r="D66" s="149" t="s">
        <v>6</v>
      </c>
      <c r="E66" s="149" t="s">
        <v>6</v>
      </c>
      <c r="F66" s="149" t="s">
        <v>6</v>
      </c>
      <c r="G66" s="149" t="s">
        <v>6</v>
      </c>
      <c r="H66" s="227">
        <v>601.54011441549267</v>
      </c>
    </row>
    <row r="67" spans="1:8" x14ac:dyDescent="0.25">
      <c r="A67" s="224" t="str">
        <f>IF($E$2="f","Contributions d'entretien pour des tiers","Unterhaltsbeiträge an Dritte")</f>
        <v>Unterhaltsbeiträge an Dritte</v>
      </c>
      <c r="B67" s="238"/>
      <c r="C67" s="238"/>
      <c r="D67" s="250" t="s">
        <v>6</v>
      </c>
      <c r="E67" s="250" t="s">
        <v>6</v>
      </c>
      <c r="F67" s="250" t="s">
        <v>6</v>
      </c>
      <c r="G67" s="250" t="s">
        <v>6</v>
      </c>
      <c r="H67" s="227">
        <v>0</v>
      </c>
    </row>
    <row r="68" spans="1:8" x14ac:dyDescent="0.25">
      <c r="A68" s="224" t="str">
        <f>IF($E$2="f","Allocations familiales transférées","Weitergeleitete Familienzulagen")</f>
        <v>Weitergeleitete Familienzulagen</v>
      </c>
      <c r="B68" s="238" t="s">
        <v>190</v>
      </c>
      <c r="C68" s="238" t="s">
        <v>190</v>
      </c>
      <c r="D68" s="250" t="s">
        <v>6</v>
      </c>
      <c r="E68" s="250" t="s">
        <v>6</v>
      </c>
      <c r="F68" s="250" t="s">
        <v>6</v>
      </c>
      <c r="G68" s="250" t="s">
        <v>6</v>
      </c>
      <c r="H68" s="227">
        <v>0</v>
      </c>
    </row>
    <row r="69" spans="1:8" s="85" customFormat="1" x14ac:dyDescent="0.25">
      <c r="A69" s="224"/>
      <c r="B69" s="194"/>
      <c r="C69" s="194"/>
      <c r="D69" s="194"/>
      <c r="E69" s="194"/>
      <c r="F69" s="194"/>
      <c r="G69" s="194"/>
      <c r="H69" s="227" t="s">
        <v>190</v>
      </c>
    </row>
    <row r="70" spans="1:8" s="85" customFormat="1" x14ac:dyDescent="0.25">
      <c r="A70" s="224"/>
      <c r="B70" s="194"/>
      <c r="C70" s="194"/>
      <c r="D70" s="194"/>
      <c r="E70" s="194"/>
      <c r="F70" s="194"/>
      <c r="G70" s="194"/>
      <c r="H70" s="227" t="s">
        <v>190</v>
      </c>
    </row>
    <row r="71" spans="1:8" s="85" customFormat="1" x14ac:dyDescent="0.25">
      <c r="A71" s="288"/>
      <c r="B71" s="194"/>
      <c r="C71" s="194"/>
      <c r="D71" s="194"/>
      <c r="E71" s="194"/>
      <c r="F71" s="194"/>
      <c r="G71" s="194"/>
      <c r="H71" s="227" t="s">
        <v>190</v>
      </c>
    </row>
    <row r="72" spans="1:8" s="59" customFormat="1" x14ac:dyDescent="0.25">
      <c r="A72" s="226" t="s">
        <v>0</v>
      </c>
      <c r="B72" s="227">
        <v>4329.9842708333335</v>
      </c>
      <c r="C72" s="227">
        <v>4162.495096722083</v>
      </c>
      <c r="D72" s="227">
        <v>1390.4523013710818</v>
      </c>
      <c r="E72" s="227">
        <v>1148.4580015368019</v>
      </c>
      <c r="F72" s="227">
        <v>0</v>
      </c>
      <c r="G72" s="227">
        <v>0</v>
      </c>
      <c r="H72" s="227">
        <v>11031.389670463301</v>
      </c>
    </row>
    <row r="74" spans="1:8" ht="15.6" x14ac:dyDescent="0.3">
      <c r="A74" s="219" t="str">
        <f>IF($E$2="f","3. Différence","3. Differenz")</f>
        <v>3. Differenz</v>
      </c>
    </row>
    <row r="76" spans="1:8" x14ac:dyDescent="0.25">
      <c r="A76" s="164" t="str">
        <f>IF($E$2="f","Moyens disponibles","Verfügbare Mittel")</f>
        <v>Verfügbare Mittel</v>
      </c>
      <c r="B76" s="116">
        <v>10833.333333333334</v>
      </c>
      <c r="C76" s="116">
        <v>1950</v>
      </c>
      <c r="D76" s="116">
        <v>250</v>
      </c>
      <c r="E76" s="116">
        <v>250</v>
      </c>
      <c r="F76" s="116">
        <v>0</v>
      </c>
      <c r="G76" s="116">
        <v>0</v>
      </c>
      <c r="H76" s="227">
        <v>13283.333333333334</v>
      </c>
    </row>
    <row r="77" spans="1:8" ht="38.25" customHeight="1" x14ac:dyDescent="0.25">
      <c r="A77" s="224" t="str">
        <f>IF($E$2="f","./. Besoins de base sans contribution de prévoyance, contributions d’entretien pour des tiers","./. Grundbedarf ohne Vorsorgeunterhalt, Unterhaltsbeiträge an Dritte")</f>
        <v>./. Grundbedarf ohne Vorsorgeunterhalt, Unterhaltsbeiträge an Dritte</v>
      </c>
      <c r="B77" s="116">
        <v>-4329.9842708333335</v>
      </c>
      <c r="C77" s="116">
        <v>-3560.9549823065904</v>
      </c>
      <c r="D77" s="116">
        <v>-1390.4523013710818</v>
      </c>
      <c r="E77" s="116">
        <v>-1148.4580015368019</v>
      </c>
      <c r="F77" s="116">
        <v>0</v>
      </c>
      <c r="G77" s="116">
        <v>0</v>
      </c>
      <c r="H77" s="227">
        <v>-10429.849556047808</v>
      </c>
    </row>
    <row r="78" spans="1:8" ht="25.5" customHeight="1" x14ac:dyDescent="0.25">
      <c r="A78" s="224" t="str">
        <f>IF($E$2="f","./. Prévoyance, contributions d’entretien pour des tiers","./. Vorsorgeunterhalt, Unterhaltsbeiträge an Dritte")</f>
        <v>./. Vorsorgeunterhalt, Unterhaltsbeiträge an Dritte</v>
      </c>
      <c r="B78" s="116">
        <v>0</v>
      </c>
      <c r="C78" s="116">
        <v>-601.54011441549267</v>
      </c>
      <c r="H78" s="227">
        <v>-601.54011441549267</v>
      </c>
    </row>
    <row r="80" spans="1:8" s="59" customFormat="1" ht="12.75" customHeight="1" x14ac:dyDescent="0.25">
      <c r="A80" s="256" t="str">
        <f>IF($E$2="f","Excédent/Déficit","Überschuss/Manko")</f>
        <v>Überschuss/Manko</v>
      </c>
      <c r="B80" s="227">
        <v>6503.3490625000004</v>
      </c>
      <c r="C80" s="227">
        <v>-2212.495096722083</v>
      </c>
      <c r="D80" s="227">
        <v>-1140.4523013710818</v>
      </c>
      <c r="E80" s="227">
        <v>-898.45800153680193</v>
      </c>
      <c r="F80" s="227">
        <v>0</v>
      </c>
      <c r="G80" s="227">
        <v>0</v>
      </c>
      <c r="H80" s="229">
        <v>2251.9436628700337</v>
      </c>
    </row>
    <row r="81" spans="1:8" s="85" customFormat="1" ht="12.75" customHeight="1" x14ac:dyDescent="0.25">
      <c r="A81" s="224"/>
      <c r="B81" s="194"/>
      <c r="C81" s="194"/>
      <c r="D81" s="194"/>
      <c r="E81" s="194"/>
      <c r="F81" s="194"/>
      <c r="G81" s="194"/>
      <c r="H81" s="287"/>
    </row>
    <row r="82" spans="1:8" s="85" customFormat="1" ht="12.75" customHeight="1" x14ac:dyDescent="0.25">
      <c r="A82" s="224" t="str">
        <f>IF($E$2="f","./. Part à l'épargne","./. Anteil Sparquote")</f>
        <v>./. Anteil Sparquote</v>
      </c>
      <c r="B82" s="259">
        <v>0</v>
      </c>
      <c r="C82" s="259">
        <v>0</v>
      </c>
      <c r="D82" s="194"/>
      <c r="E82" s="194"/>
      <c r="F82" s="194"/>
      <c r="G82" s="194"/>
      <c r="H82" s="287"/>
    </row>
    <row r="83" spans="1:8" s="85" customFormat="1" x14ac:dyDescent="0.25">
      <c r="A83" s="164"/>
      <c r="B83" s="194"/>
      <c r="C83" s="194"/>
      <c r="D83" s="194"/>
      <c r="E83" s="194"/>
      <c r="F83" s="194"/>
      <c r="G83" s="194"/>
      <c r="H83" s="194"/>
    </row>
    <row r="84" spans="1:8" x14ac:dyDescent="0.25">
      <c r="A84" s="164" t="str">
        <f>IF($E$2="f","./. Attribution préalable","./. Vorabzuteilung")</f>
        <v>./. Vorabzuteilung</v>
      </c>
      <c r="B84" s="260">
        <v>0</v>
      </c>
      <c r="C84" s="260">
        <v>0</v>
      </c>
      <c r="D84" s="260">
        <v>0</v>
      </c>
      <c r="E84" s="260">
        <v>0</v>
      </c>
      <c r="F84" s="260">
        <v>0</v>
      </c>
      <c r="G84" s="260">
        <v>0</v>
      </c>
      <c r="H84" s="227">
        <v>0</v>
      </c>
    </row>
    <row r="85" spans="1:8" x14ac:dyDescent="0.25">
      <c r="A85" s="164"/>
      <c r="B85" s="227"/>
      <c r="C85" s="227"/>
      <c r="D85" s="227"/>
      <c r="E85" s="227"/>
      <c r="F85" s="227"/>
      <c r="G85" s="227"/>
    </row>
    <row r="86" spans="1:8" x14ac:dyDescent="0.25">
      <c r="A86" s="226" t="str">
        <f>IF($E$2="f","Montant disponible à répartir","Aufzuteilender Betrag")</f>
        <v>Aufzuteilender Betrag</v>
      </c>
      <c r="B86" s="227">
        <v>6503.3490625000004</v>
      </c>
      <c r="C86" s="227">
        <v>-2212.495096722083</v>
      </c>
      <c r="D86" s="227">
        <v>-1140.4523013710818</v>
      </c>
      <c r="E86" s="227">
        <v>-898.45800153680193</v>
      </c>
      <c r="F86" s="227">
        <v>0</v>
      </c>
      <c r="G86" s="227">
        <v>0</v>
      </c>
      <c r="H86" s="227">
        <v>2251.9436628700337</v>
      </c>
    </row>
    <row r="87" spans="1:8" x14ac:dyDescent="0.25">
      <c r="A87" s="164"/>
      <c r="B87" s="227"/>
      <c r="C87" s="227"/>
      <c r="D87" s="227"/>
      <c r="E87" s="227"/>
      <c r="F87" s="227"/>
      <c r="G87" s="227"/>
    </row>
    <row r="88" spans="1:8" s="59" customFormat="1" x14ac:dyDescent="0.25">
      <c r="A88" s="164" t="str">
        <f>IF($E$2="f","Facteur de distribution pour l‘excédent/déficit","Verteiler für Überschuss/Manko")</f>
        <v>Verteiler für Überschuss/Manko</v>
      </c>
      <c r="B88" s="354">
        <v>1</v>
      </c>
      <c r="C88" s="355">
        <v>1</v>
      </c>
      <c r="D88" s="101">
        <v>0.5</v>
      </c>
      <c r="E88" s="101">
        <v>0.5</v>
      </c>
      <c r="F88" s="101">
        <v>0</v>
      </c>
      <c r="G88" s="101">
        <v>0</v>
      </c>
      <c r="H88" s="353">
        <v>3</v>
      </c>
    </row>
    <row r="89" spans="1:8" s="59" customFormat="1" x14ac:dyDescent="0.25">
      <c r="A89" s="164" t="str">
        <f>IF($E$2="f","en pourcentage","in Prozent")</f>
        <v>in Prozent</v>
      </c>
      <c r="B89" s="270">
        <v>0.33333333333333331</v>
      </c>
      <c r="C89" s="270">
        <v>0.33333333333333331</v>
      </c>
      <c r="D89" s="270">
        <v>0.16666666666666666</v>
      </c>
      <c r="E89" s="270">
        <v>0.16666666666666666</v>
      </c>
      <c r="F89" s="270">
        <v>0</v>
      </c>
      <c r="G89" s="270">
        <v>0</v>
      </c>
      <c r="H89" s="269">
        <v>1</v>
      </c>
    </row>
    <row r="90" spans="1:8" s="59" customFormat="1" x14ac:dyDescent="0.25">
      <c r="A90" s="226"/>
      <c r="B90" s="227"/>
      <c r="C90" s="227"/>
      <c r="D90" s="227"/>
      <c r="E90" s="227"/>
      <c r="F90" s="227"/>
      <c r="G90" s="227"/>
      <c r="H90" s="227"/>
    </row>
    <row r="91" spans="1:8" s="59" customFormat="1" x14ac:dyDescent="0.25">
      <c r="A91" s="226" t="str">
        <f>IF($E$2="f","Part à l’excédent","Überschussanteil")</f>
        <v>Überschussanteil</v>
      </c>
      <c r="B91" s="227">
        <v>750.64788762334456</v>
      </c>
      <c r="C91" s="227">
        <v>750.64788762334456</v>
      </c>
      <c r="D91" s="227">
        <v>375.32394381167228</v>
      </c>
      <c r="E91" s="227">
        <v>375.32394381167228</v>
      </c>
      <c r="F91" s="227">
        <v>0</v>
      </c>
      <c r="G91" s="227">
        <v>0</v>
      </c>
      <c r="H91" s="227">
        <v>2251.9436628700337</v>
      </c>
    </row>
    <row r="92" spans="1:8" s="59" customFormat="1" x14ac:dyDescent="0.25">
      <c r="A92" s="226"/>
      <c r="B92" s="227"/>
      <c r="C92" s="227"/>
      <c r="D92" s="227"/>
      <c r="E92" s="227"/>
      <c r="F92" s="227"/>
      <c r="G92" s="227"/>
      <c r="H92" s="227"/>
    </row>
    <row r="93" spans="1:8" s="59" customFormat="1" ht="15.6" x14ac:dyDescent="0.3">
      <c r="A93" s="219" t="str">
        <f>IF($E$2="f","4. Contribution d’entretien économiquement","4. Unterhaltsbeitrag wirtschaftlich")</f>
        <v>4. Unterhaltsbeitrag wirtschaftlich</v>
      </c>
      <c r="B93" s="227"/>
      <c r="C93" s="227"/>
      <c r="D93" s="227"/>
      <c r="E93" s="227"/>
      <c r="F93" s="227"/>
      <c r="G93" s="227"/>
      <c r="H93" s="227"/>
    </row>
    <row r="94" spans="1:8" s="59" customFormat="1" x14ac:dyDescent="0.25">
      <c r="A94" s="226"/>
      <c r="B94" s="227"/>
      <c r="C94" s="227"/>
      <c r="D94" s="227"/>
      <c r="E94" s="227"/>
      <c r="F94" s="227"/>
      <c r="G94" s="227"/>
      <c r="H94" s="227"/>
    </row>
    <row r="95" spans="1:8" s="59" customFormat="1" x14ac:dyDescent="0.25">
      <c r="A95" s="164" t="str">
        <f>IF($E$2="f","Besoins de base","Grundbedarf")</f>
        <v>Grundbedarf</v>
      </c>
      <c r="B95" s="116">
        <v>4329.9842708333335</v>
      </c>
      <c r="C95" s="116">
        <v>4162.495096722083</v>
      </c>
      <c r="D95" s="116">
        <v>1390.4523013710818</v>
      </c>
      <c r="E95" s="116">
        <v>1148.4580015368019</v>
      </c>
      <c r="F95" s="116">
        <v>0</v>
      </c>
      <c r="G95" s="116">
        <v>0</v>
      </c>
      <c r="H95" s="227">
        <v>11031.389670463301</v>
      </c>
    </row>
    <row r="96" spans="1:8" s="59" customFormat="1" x14ac:dyDescent="0.25">
      <c r="A96" s="164" t="str">
        <f>IF($E$2="f","Part à l'épargne","Anteil Sparquote")</f>
        <v>Anteil Sparquote</v>
      </c>
      <c r="B96" s="116">
        <v>0</v>
      </c>
      <c r="C96" s="116">
        <v>0</v>
      </c>
      <c r="D96" s="116"/>
      <c r="E96" s="116"/>
      <c r="F96" s="116"/>
      <c r="G96" s="116"/>
      <c r="H96" s="227"/>
    </row>
    <row r="97" spans="1:8" s="59" customFormat="1" x14ac:dyDescent="0.25">
      <c r="A97" s="164" t="str">
        <f>IF($E$2="f","Attribution préalable","Vorabzuteilung")</f>
        <v>Vorabzuteilung</v>
      </c>
      <c r="B97" s="116">
        <v>0</v>
      </c>
      <c r="C97" s="116">
        <v>0</v>
      </c>
      <c r="D97" s="116">
        <v>0</v>
      </c>
      <c r="E97" s="116">
        <v>0</v>
      </c>
      <c r="F97" s="116">
        <v>0</v>
      </c>
      <c r="G97" s="116">
        <v>0</v>
      </c>
      <c r="H97" s="227">
        <v>0</v>
      </c>
    </row>
    <row r="98" spans="1:8" s="85" customFormat="1" x14ac:dyDescent="0.25">
      <c r="A98" s="164" t="str">
        <f>IF($E$2="f","Part à l’excédent","Überschussanteil")</f>
        <v>Überschussanteil</v>
      </c>
      <c r="B98" s="194">
        <v>750.64788762334456</v>
      </c>
      <c r="C98" s="194">
        <v>750.64788762334456</v>
      </c>
      <c r="D98" s="194">
        <v>375.32394381167228</v>
      </c>
      <c r="E98" s="194">
        <v>375.32394381167228</v>
      </c>
      <c r="F98" s="194">
        <v>0</v>
      </c>
      <c r="G98" s="194">
        <v>0</v>
      </c>
      <c r="H98" s="227">
        <v>2251.9436628700337</v>
      </c>
    </row>
    <row r="99" spans="1:8" s="59" customFormat="1" x14ac:dyDescent="0.25">
      <c r="A99" s="164"/>
      <c r="B99" s="227"/>
      <c r="C99" s="227"/>
      <c r="D99" s="227"/>
      <c r="E99" s="227"/>
      <c r="F99" s="227"/>
      <c r="G99" s="227"/>
      <c r="H99" s="227"/>
    </row>
    <row r="100" spans="1:8" s="59" customFormat="1" x14ac:dyDescent="0.25">
      <c r="A100" s="226" t="str">
        <f>IF($E$2="f","Total","Total")</f>
        <v>Total</v>
      </c>
      <c r="B100" s="227">
        <v>5080.6321584566776</v>
      </c>
      <c r="C100" s="227">
        <v>4913.142984345428</v>
      </c>
      <c r="D100" s="227">
        <v>1765.7762451827541</v>
      </c>
      <c r="E100" s="227">
        <v>1523.7819453484742</v>
      </c>
      <c r="F100" s="227">
        <v>0</v>
      </c>
      <c r="G100" s="227">
        <v>0</v>
      </c>
      <c r="H100" s="227">
        <v>13283.333333333334</v>
      </c>
    </row>
    <row r="101" spans="1:8" s="59" customFormat="1" x14ac:dyDescent="0.25">
      <c r="A101" s="164"/>
      <c r="B101" s="227"/>
      <c r="C101" s="227"/>
      <c r="D101" s="227"/>
      <c r="E101" s="227"/>
      <c r="F101" s="227"/>
      <c r="G101" s="227"/>
      <c r="H101" s="227"/>
    </row>
    <row r="102" spans="1:8" s="59" customFormat="1" x14ac:dyDescent="0.25">
      <c r="A102" s="164" t="str">
        <f>IF($E$2="f","./. Revenus propres","./. eigenes Einkommen")</f>
        <v>./. eigenes Einkommen</v>
      </c>
      <c r="B102" s="116">
        <v>-10833.333333333334</v>
      </c>
      <c r="C102" s="116">
        <v>-1950</v>
      </c>
      <c r="D102" s="116">
        <v>-250</v>
      </c>
      <c r="E102" s="116">
        <v>-250</v>
      </c>
      <c r="F102" s="116">
        <v>0</v>
      </c>
      <c r="G102" s="116">
        <v>0</v>
      </c>
      <c r="H102" s="227">
        <v>-13283.333333333334</v>
      </c>
    </row>
    <row r="103" spans="1:8" s="59" customFormat="1" x14ac:dyDescent="0.25">
      <c r="A103" s="226"/>
      <c r="B103" s="227"/>
      <c r="C103" s="227"/>
      <c r="D103" s="227"/>
      <c r="E103" s="227"/>
      <c r="F103" s="227"/>
      <c r="G103" s="227"/>
      <c r="H103" s="227"/>
    </row>
    <row r="104" spans="1:8" s="254" customFormat="1" x14ac:dyDescent="0.25">
      <c r="A104" s="232" t="str">
        <f>IF($E$2="f","Créance d’entretien économiquement","Unterhaltsanspruch wirtschaftlich")</f>
        <v>Unterhaltsanspruch wirtschaftlich</v>
      </c>
      <c r="B104" s="229">
        <v>-5752.7011748766563</v>
      </c>
      <c r="C104" s="229">
        <v>2963.142984345428</v>
      </c>
      <c r="D104" s="229">
        <v>1515.7762451827541</v>
      </c>
      <c r="E104" s="229">
        <v>1273.7819453484742</v>
      </c>
      <c r="F104" s="229">
        <v>0</v>
      </c>
      <c r="G104" s="229">
        <v>0</v>
      </c>
      <c r="H104" s="229">
        <v>0</v>
      </c>
    </row>
    <row r="105" spans="1:8" s="254" customFormat="1" x14ac:dyDescent="0.25">
      <c r="A105" s="232"/>
      <c r="B105" s="229"/>
      <c r="C105" s="229"/>
      <c r="D105" s="229"/>
      <c r="E105" s="229"/>
      <c r="F105" s="229"/>
      <c r="G105" s="229"/>
      <c r="H105" s="229"/>
    </row>
    <row r="106" spans="1:8" s="59" customFormat="1" ht="15.6" x14ac:dyDescent="0.3">
      <c r="A106" s="219" t="str">
        <f>IF($E$2="f","5. Contribution d’entretien juridiquement","5. Unterhaltsbeitrag rechtlich")</f>
        <v>5. Unterhaltsbeitrag rechtlich</v>
      </c>
      <c r="B106" s="227"/>
      <c r="C106" s="227"/>
      <c r="D106" s="227"/>
      <c r="E106" s="227"/>
      <c r="F106" s="227"/>
      <c r="G106" s="227"/>
      <c r="H106" s="227"/>
    </row>
    <row r="107" spans="1:8" s="254" customFormat="1" x14ac:dyDescent="0.25">
      <c r="A107" s="232"/>
      <c r="B107" s="229"/>
      <c r="C107" s="229"/>
      <c r="D107" s="229"/>
      <c r="E107" s="229"/>
      <c r="F107" s="229"/>
      <c r="G107" s="229"/>
      <c r="H107" s="229"/>
    </row>
    <row r="108" spans="1:8" s="254" customFormat="1" ht="26.4" x14ac:dyDescent="0.25">
      <c r="A108" s="224" t="str">
        <f>IF($E$2="f","Somme des créances d’entretien du parent qui assure la prise en charge principale et des enfants","Unterhaltsanspruch hauptbetreuender Elternteil und Kinder total")</f>
        <v>Unterhaltsanspruch hauptbetreuender Elternteil und Kinder total</v>
      </c>
      <c r="C108" s="194">
        <v>5752.7011748766563</v>
      </c>
      <c r="D108" s="229"/>
      <c r="E108" s="229"/>
      <c r="F108" s="229"/>
      <c r="G108" s="229"/>
      <c r="H108" s="227"/>
    </row>
    <row r="109" spans="1:8" s="254" customFormat="1" ht="26.4" x14ac:dyDescent="0.25">
      <c r="A109" s="224" t="str">
        <f>IF($E$2="f","./. Besoins de base enfants moins revenu propre","./. Grundbedarf Kinder abzüglich eigenes Einkommen")</f>
        <v>./. Grundbedarf Kinder abzüglich eigenes Einkommen</v>
      </c>
      <c r="B109" s="229"/>
      <c r="C109" s="194">
        <v>-2038.9103029078838</v>
      </c>
      <c r="D109" s="194">
        <v>1140.4523013710818</v>
      </c>
      <c r="E109" s="194">
        <v>898.45800153680193</v>
      </c>
      <c r="F109" s="194">
        <v>0</v>
      </c>
      <c r="G109" s="194">
        <v>0</v>
      </c>
      <c r="H109" s="227">
        <v>0</v>
      </c>
    </row>
    <row r="110" spans="1:8" s="254" customFormat="1" x14ac:dyDescent="0.25">
      <c r="A110" s="224" t="str">
        <f>IF($E$2="f","./. Attribution préalable aux enfants","./. Vorabzuteilung an Kinder")</f>
        <v>./. Vorabzuteilung an Kinder</v>
      </c>
      <c r="B110" s="229"/>
      <c r="C110" s="194">
        <v>0</v>
      </c>
      <c r="D110" s="194">
        <v>0</v>
      </c>
      <c r="E110" s="194">
        <v>0</v>
      </c>
      <c r="F110" s="194">
        <v>0</v>
      </c>
      <c r="G110" s="194">
        <v>0</v>
      </c>
      <c r="H110" s="227">
        <v>0</v>
      </c>
    </row>
    <row r="111" spans="1:8" s="254" customFormat="1" x14ac:dyDescent="0.25">
      <c r="A111" s="164" t="str">
        <f>IF($E$2="f","./. Part à l’excédent pour l’entretien en espèces","./. Anteil Überschuss für Barunterhalt Kinder")</f>
        <v>./. Anteil Überschuss für Barunterhalt Kinder</v>
      </c>
      <c r="B111" s="229"/>
      <c r="C111" s="194">
        <v>-750.64788762334456</v>
      </c>
      <c r="D111" s="231">
        <v>375.32394381167228</v>
      </c>
      <c r="E111" s="231">
        <v>375.32394381167228</v>
      </c>
      <c r="F111" s="231">
        <v>0</v>
      </c>
      <c r="G111" s="231">
        <v>0</v>
      </c>
      <c r="H111" s="227">
        <v>0</v>
      </c>
    </row>
    <row r="112" spans="1:8" s="254" customFormat="1" x14ac:dyDescent="0.25">
      <c r="A112" s="164"/>
      <c r="B112" s="194"/>
      <c r="C112" s="194"/>
      <c r="D112" s="194"/>
      <c r="E112" s="194"/>
      <c r="F112" s="194"/>
      <c r="G112" s="194"/>
      <c r="H112" s="227"/>
    </row>
    <row r="113" spans="1:8" s="254" customFormat="1" ht="26.4" x14ac:dyDescent="0.25">
      <c r="A113" s="256" t="str">
        <f>IF($E$2="f","Solde restant pour les coûts de la vie du parent qui assure la prise en charge principale","Verbleibend für Lebenskosten hauptbetreuender Elternteil")</f>
        <v>Verbleibend für Lebenskosten hauptbetreuender Elternteil</v>
      </c>
      <c r="B113" s="227"/>
      <c r="C113" s="227">
        <v>2963.142984345428</v>
      </c>
      <c r="D113" s="227"/>
      <c r="E113" s="227"/>
      <c r="F113" s="227"/>
      <c r="G113" s="227"/>
      <c r="H113" s="227"/>
    </row>
    <row r="114" spans="1:8" s="254" customFormat="1" ht="26.4" x14ac:dyDescent="0.25">
      <c r="A114" s="256" t="str">
        <f>IF($E$2="f","Part des frais de l’enfant à charge du parent qui assure la prise en charge principale","Anteil Kinderkosten z.L. hauptbetreuender Elternteil")</f>
        <v>Anteil Kinderkosten z.L. hauptbetreuender Elternteil</v>
      </c>
      <c r="B114" s="227"/>
      <c r="C114" s="227">
        <v>0</v>
      </c>
      <c r="D114" s="227"/>
      <c r="E114" s="227"/>
      <c r="F114" s="227"/>
      <c r="G114" s="227"/>
      <c r="H114" s="227"/>
    </row>
    <row r="115" spans="1:8" s="254" customFormat="1" x14ac:dyDescent="0.25">
      <c r="A115" s="256"/>
      <c r="B115" s="227"/>
      <c r="C115" s="227"/>
      <c r="D115" s="227"/>
      <c r="E115" s="227"/>
      <c r="F115" s="227"/>
      <c r="G115" s="227"/>
      <c r="H115" s="227"/>
    </row>
    <row r="116" spans="1:8" s="254" customFormat="1" ht="25.5" customHeight="1" x14ac:dyDescent="0.25">
      <c r="A116" s="224" t="str">
        <f>IF($E$2="f","Temps de prise en charge en pourcentage en fonction de l’âge","Betreuungszeit in Prozent aufgrund Alter")</f>
        <v>Betreuungszeit in Prozent aufgrund Alter</v>
      </c>
      <c r="B116" s="227"/>
      <c r="C116" s="227"/>
      <c r="D116" s="268"/>
      <c r="E116" s="268"/>
      <c r="F116" s="268"/>
      <c r="G116" s="268"/>
      <c r="H116" s="269">
        <v>0</v>
      </c>
    </row>
    <row r="117" spans="1:8" s="254" customFormat="1" ht="25.5" customHeight="1" x14ac:dyDescent="0.25">
      <c r="A117" s="224" t="str">
        <f>IF($E$2="f","Part à la contribution de prise en charge en pourcentage","Anteil am Betreuungsunterhalt in Prozent")</f>
        <v>Anteil am Betreuungsunterhalt in Prozent</v>
      </c>
      <c r="B117" s="194"/>
      <c r="C117" s="194"/>
      <c r="D117" s="271">
        <v>0.5</v>
      </c>
      <c r="E117" s="271">
        <v>0.5</v>
      </c>
      <c r="F117" s="271">
        <v>0</v>
      </c>
      <c r="G117" s="271">
        <v>0</v>
      </c>
      <c r="H117" s="269">
        <v>1</v>
      </c>
    </row>
    <row r="118" spans="1:8" s="254" customFormat="1" ht="38.25" customHeight="1" x14ac:dyDescent="0.25">
      <c r="A118" s="224" t="str">
        <f>IF($E$2="f","./. Compensation du déficit (sans contribution de prévoyance, contributions d’entretien pour des tiers) par la contribution de prise en charge","./. Ausgleich Manko (ohne Vorsorgeunterhalt, Unterhaltsbeiträge an Dritte) durch Betreuungsunterhalt")</f>
        <v>./. Ausgleich Manko (ohne Vorsorgeunterhalt, Unterhaltsbeiträge an Dritte) durch Betreuungsunterhalt</v>
      </c>
      <c r="B118" s="194"/>
      <c r="C118" s="194">
        <v>-1610.9549823065904</v>
      </c>
      <c r="D118" s="194">
        <v>805.4774911532952</v>
      </c>
      <c r="E118" s="194">
        <v>805.4774911532952</v>
      </c>
      <c r="F118" s="194">
        <v>0</v>
      </c>
      <c r="G118" s="194">
        <v>0</v>
      </c>
      <c r="H118" s="227">
        <v>0</v>
      </c>
    </row>
    <row r="119" spans="1:8" s="254" customFormat="1" ht="12.75" customHeight="1" x14ac:dyDescent="0.25">
      <c r="A119" s="224" t="str">
        <f>IF($E$2="f","Impôts dans contribution individuelle","Steuern in persönlichem Unterhalt")</f>
        <v>Steuern in persönlichem Unterhalt</v>
      </c>
      <c r="B119" s="325">
        <v>0.30269332775375507</v>
      </c>
      <c r="C119" s="259">
        <v>134.98759762274869</v>
      </c>
      <c r="D119" s="194">
        <v>-67.493798811374347</v>
      </c>
      <c r="E119" s="194">
        <v>-67.493798811374347</v>
      </c>
      <c r="F119" s="194">
        <v>0</v>
      </c>
      <c r="G119" s="194">
        <v>0</v>
      </c>
      <c r="H119" s="227">
        <v>0</v>
      </c>
    </row>
    <row r="120" spans="1:8" s="254" customFormat="1" ht="25.5" customHeight="1" x14ac:dyDescent="0.25">
      <c r="A120" s="224" t="str">
        <f>IF($E$2="f","./. Part à l’excédent pour la contribution de prise en charge","./. Anteil Überschuss für Betreuungsunterhalt")</f>
        <v>./. Anteil Überschuss für Betreuungsunterhalt</v>
      </c>
      <c r="B120" s="194"/>
      <c r="C120" s="194">
        <v>0</v>
      </c>
      <c r="D120" s="259">
        <v>0</v>
      </c>
      <c r="E120" s="259">
        <v>0</v>
      </c>
      <c r="F120" s="259">
        <v>0</v>
      </c>
      <c r="G120" s="259">
        <v>0</v>
      </c>
      <c r="H120" s="227">
        <v>0</v>
      </c>
    </row>
    <row r="121" spans="1:8" s="254" customFormat="1" x14ac:dyDescent="0.25">
      <c r="A121" s="164"/>
      <c r="B121" s="164"/>
      <c r="C121" s="194"/>
      <c r="D121" s="194"/>
      <c r="E121" s="194"/>
      <c r="F121" s="194"/>
      <c r="G121" s="194"/>
      <c r="H121" s="227"/>
    </row>
    <row r="122" spans="1:8" s="254" customFormat="1" x14ac:dyDescent="0.25">
      <c r="A122" s="226" t="str">
        <f>IF($E$2="f","Solde restant","Verbleibend")</f>
        <v>Verbleibend</v>
      </c>
      <c r="B122" s="226"/>
      <c r="C122" s="227">
        <v>1487.1755996615861</v>
      </c>
      <c r="D122" s="227"/>
      <c r="E122" s="227"/>
      <c r="F122" s="227"/>
      <c r="G122" s="227"/>
      <c r="H122" s="227"/>
    </row>
    <row r="123" spans="1:8" s="254" customFormat="1" x14ac:dyDescent="0.25">
      <c r="A123" s="164"/>
      <c r="B123" s="164"/>
      <c r="C123" s="194"/>
      <c r="D123" s="194"/>
      <c r="E123" s="194"/>
      <c r="F123" s="194"/>
      <c r="G123" s="194"/>
      <c r="H123" s="227"/>
    </row>
    <row r="124" spans="1:8" s="254" customFormat="1" ht="25.5" customHeight="1" x14ac:dyDescent="0.25">
      <c r="A124" s="224" t="str">
        <f>IF($E$2="f","./. Redistribution vers/de la contribution de prise en charge","./. Umlagerung auf/von Betreuungsunterhalt")</f>
        <v>./. Umlagerung auf/von Betreuungsunterhalt</v>
      </c>
      <c r="B124" s="326">
        <v>0</v>
      </c>
      <c r="C124" s="259">
        <v>0</v>
      </c>
      <c r="D124" s="194">
        <v>0</v>
      </c>
      <c r="E124" s="194">
        <v>0</v>
      </c>
      <c r="F124" s="194">
        <v>0</v>
      </c>
      <c r="G124" s="194">
        <v>0</v>
      </c>
      <c r="H124" s="227">
        <v>0</v>
      </c>
    </row>
    <row r="125" spans="1:8" s="254" customFormat="1" ht="26.4" x14ac:dyDescent="0.25">
      <c r="A125" s="224" t="str">
        <f>IF($E$2="f","Part des frais de l’enfant à charge du parent qui assure la prise en charge principale","Anteil Kinderkosten z.L. hauptbetreuender Elternteil")</f>
        <v>Anteil Kinderkosten z.L. hauptbetreuender Elternteil</v>
      </c>
      <c r="B125" s="327">
        <v>1</v>
      </c>
      <c r="C125" s="194">
        <v>0</v>
      </c>
      <c r="D125" s="194">
        <v>0</v>
      </c>
      <c r="E125" s="194">
        <v>0</v>
      </c>
      <c r="F125" s="194">
        <v>0</v>
      </c>
      <c r="G125" s="194">
        <v>0</v>
      </c>
      <c r="H125" s="227">
        <v>0</v>
      </c>
    </row>
    <row r="126" spans="1:8" s="254" customFormat="1" x14ac:dyDescent="0.25">
      <c r="B126" s="224"/>
      <c r="C126" s="194"/>
      <c r="D126" s="194"/>
      <c r="E126" s="194"/>
      <c r="F126" s="194"/>
      <c r="G126" s="194"/>
      <c r="H126" s="227"/>
    </row>
    <row r="127" spans="1:8" s="254" customFormat="1" ht="15.6" x14ac:dyDescent="0.3">
      <c r="A127" s="219" t="str">
        <f>IF($E$2="f","6. Résultat","6. Resultat")</f>
        <v>6. Resultat</v>
      </c>
      <c r="B127" s="194"/>
      <c r="C127" s="194"/>
      <c r="D127" s="194"/>
      <c r="E127" s="194"/>
      <c r="F127" s="194"/>
      <c r="G127" s="194"/>
      <c r="H127" s="227"/>
    </row>
    <row r="128" spans="1:8" s="254" customFormat="1" x14ac:dyDescent="0.25">
      <c r="A128" s="164"/>
      <c r="B128" s="164"/>
      <c r="C128" s="194"/>
      <c r="D128" s="194"/>
      <c r="E128" s="194"/>
      <c r="F128" s="194"/>
      <c r="G128" s="194"/>
      <c r="H128" s="227"/>
    </row>
    <row r="129" spans="1:8" s="254" customFormat="1" ht="26.4" x14ac:dyDescent="0.25">
      <c r="A129" s="255" t="str">
        <f>IF($E$2="f","Contribution d’entretien individuelle du parent qui assure la prise en charge principale","persönlicher Unterhaltsbeitrag hauptbetreuender Elternteil")</f>
        <v>persönlicher Unterhaltsbeitrag hauptbetreuender Elternteil</v>
      </c>
      <c r="B129" s="229"/>
      <c r="C129" s="229">
        <v>1487.1755996615861</v>
      </c>
      <c r="D129" s="194"/>
      <c r="E129" s="194"/>
      <c r="F129" s="194"/>
      <c r="G129" s="194"/>
      <c r="H129" s="227"/>
    </row>
    <row r="130" spans="1:8" s="254" customFormat="1" x14ac:dyDescent="0.25">
      <c r="D130" s="229"/>
      <c r="E130" s="229"/>
      <c r="F130" s="229"/>
      <c r="G130" s="229"/>
      <c r="H130" s="229"/>
    </row>
    <row r="131" spans="1:8" s="254" customFormat="1" x14ac:dyDescent="0.25">
      <c r="A131" s="85" t="str">
        <f>IF($E$2="f","Entretien en espèces enfants","Barunterhalt Kinder")</f>
        <v>Barunterhalt Kinder</v>
      </c>
      <c r="B131" s="194"/>
      <c r="C131" s="194"/>
      <c r="D131" s="194">
        <v>1515.7762451827541</v>
      </c>
      <c r="E131" s="194">
        <v>1273.7819453484742</v>
      </c>
      <c r="F131" s="194">
        <v>0</v>
      </c>
      <c r="G131" s="194">
        <v>0</v>
      </c>
      <c r="H131" s="227">
        <v>2789.5581905312283</v>
      </c>
    </row>
    <row r="132" spans="1:8" s="254" customFormat="1" x14ac:dyDescent="0.25">
      <c r="A132" s="224" t="str">
        <f>IF($E$2="f","Contribution de prise en charge","Betreuungsunterhalt")</f>
        <v>Betreuungsunterhalt</v>
      </c>
      <c r="B132" s="194"/>
      <c r="C132" s="194"/>
      <c r="D132" s="194">
        <v>737.98369234192091</v>
      </c>
      <c r="E132" s="194">
        <v>737.98369234192091</v>
      </c>
      <c r="F132" s="194">
        <v>0</v>
      </c>
      <c r="G132" s="194">
        <v>0</v>
      </c>
      <c r="H132" s="227">
        <v>1475.9673846838418</v>
      </c>
    </row>
    <row r="133" spans="1:8" s="254" customFormat="1" ht="26.4" x14ac:dyDescent="0.25">
      <c r="A133" s="224" t="str">
        <f>IF($E$2="f","./. Part du parent qui assure la prise en charge principale/Part déficit","./. Anteil hauptbetreuender Elternteil/Anteil Manko")</f>
        <v>./. Anteil hauptbetreuender Elternteil/Anteil Manko</v>
      </c>
      <c r="B133" s="194"/>
      <c r="C133" s="194"/>
      <c r="D133" s="194">
        <v>0</v>
      </c>
      <c r="E133" s="194">
        <v>0</v>
      </c>
      <c r="F133" s="194">
        <v>0</v>
      </c>
      <c r="G133" s="194">
        <v>0</v>
      </c>
      <c r="H133" s="227">
        <v>0</v>
      </c>
    </row>
    <row r="134" spans="1:8" s="254" customFormat="1" x14ac:dyDescent="0.25">
      <c r="A134" s="218"/>
      <c r="B134" s="116"/>
      <c r="C134" s="116"/>
      <c r="D134" s="116"/>
      <c r="E134" s="116"/>
      <c r="F134" s="116"/>
      <c r="G134" s="116"/>
      <c r="H134" s="227"/>
    </row>
    <row r="135" spans="1:8" s="254" customFormat="1" x14ac:dyDescent="0.25">
      <c r="A135" s="232" t="str">
        <f>IF($E$2="f","Contribution d’entretien enfants (au total)","Unterhaltsbeitrag Kinder insgesamt")</f>
        <v>Unterhaltsbeitrag Kinder insgesamt</v>
      </c>
      <c r="B135" s="229"/>
      <c r="C135" s="229"/>
      <c r="D135" s="229">
        <v>2253.759937524675</v>
      </c>
      <c r="E135" s="229">
        <v>2011.7656376903951</v>
      </c>
      <c r="F135" s="229">
        <v>0</v>
      </c>
      <c r="G135" s="229">
        <v>0</v>
      </c>
      <c r="H135" s="229">
        <v>4265.5255752150697</v>
      </c>
    </row>
    <row r="136" spans="1:8" s="254" customFormat="1" x14ac:dyDescent="0.25">
      <c r="A136" s="164"/>
      <c r="B136" s="194"/>
      <c r="C136" s="194"/>
      <c r="D136" s="194"/>
      <c r="E136" s="194"/>
      <c r="F136" s="194"/>
      <c r="G136" s="194"/>
      <c r="H136" s="227"/>
    </row>
    <row r="137" spans="1:8" s="254" customFormat="1" ht="12.75" customHeight="1" x14ac:dyDescent="0.25">
      <c r="A137" s="226" t="str">
        <f>IF($E$2="f","Somme des contributions d'entretien","Unterhaltsbeiträge total")</f>
        <v>Unterhaltsbeiträge total</v>
      </c>
      <c r="B137" s="227"/>
      <c r="C137" s="227">
        <v>5752.7011748766563</v>
      </c>
      <c r="D137" s="194"/>
      <c r="E137" s="194"/>
      <c r="F137" s="194"/>
      <c r="G137" s="194"/>
      <c r="H137" s="227"/>
    </row>
    <row r="138" spans="1:8" x14ac:dyDescent="0.25">
      <c r="A138" s="226" t="str">
        <f>IF(OR(D18="n1",E18="n1",F18="n1",G18="n1"),IF(E2="f","plus allocations familiales","zuzüglich Familienzulagen"),"")</f>
        <v/>
      </c>
      <c r="C138" s="227" t="s">
        <v>190</v>
      </c>
    </row>
    <row r="140" spans="1:8" x14ac:dyDescent="0.25">
      <c r="A140" s="232" t="str">
        <f>IF($E$2="f","Répartition du déficit","Verteilung Manko")</f>
        <v>Verteilung Manko</v>
      </c>
    </row>
    <row r="141" spans="1:8" x14ac:dyDescent="0.25">
      <c r="A141" s="164" t="str">
        <f>IF($E$2="f","Entretien en espèces enfants","Barunterhalt Kinder")</f>
        <v>Barunterhalt Kinder</v>
      </c>
      <c r="D141" s="116">
        <v>0</v>
      </c>
      <c r="E141" s="116">
        <v>0</v>
      </c>
      <c r="F141" s="116">
        <v>0</v>
      </c>
      <c r="G141" s="116">
        <v>0</v>
      </c>
      <c r="H141" s="227">
        <v>0</v>
      </c>
    </row>
    <row r="142" spans="1:8" ht="12.75" customHeight="1" x14ac:dyDescent="0.25">
      <c r="A142" s="164" t="str">
        <f>IF($E$2="f","Contribution de prise en charge","Betreuungsunterhalt")</f>
        <v>Betreuungsunterhalt</v>
      </c>
      <c r="D142" s="116">
        <v>0</v>
      </c>
      <c r="E142" s="116">
        <v>0</v>
      </c>
      <c r="F142" s="116">
        <v>0</v>
      </c>
      <c r="G142" s="116">
        <v>0</v>
      </c>
      <c r="H142" s="227">
        <v>0</v>
      </c>
    </row>
    <row r="143" spans="1:8" x14ac:dyDescent="0.25">
      <c r="A143" s="164" t="str">
        <f>IF($E$2="f","Entretien individuel","Persönlicher Unterhalt")</f>
        <v>Persönlicher Unterhalt</v>
      </c>
      <c r="B143" s="116">
        <v>0</v>
      </c>
      <c r="C143" s="116">
        <v>0</v>
      </c>
      <c r="D143" s="284" t="s">
        <v>6</v>
      </c>
      <c r="E143" s="284" t="s">
        <v>6</v>
      </c>
      <c r="F143" s="284" t="s">
        <v>6</v>
      </c>
      <c r="G143" s="284" t="s">
        <v>6</v>
      </c>
      <c r="H143" s="227">
        <v>0</v>
      </c>
    </row>
    <row r="144" spans="1:8" x14ac:dyDescent="0.25">
      <c r="A144" s="226" t="s">
        <v>0</v>
      </c>
      <c r="B144" s="227">
        <v>0</v>
      </c>
      <c r="C144" s="227">
        <v>0</v>
      </c>
      <c r="D144" s="227">
        <v>0</v>
      </c>
      <c r="E144" s="227">
        <v>0</v>
      </c>
      <c r="F144" s="227">
        <v>0</v>
      </c>
      <c r="G144" s="227">
        <v>0</v>
      </c>
      <c r="H144" s="229">
        <v>0</v>
      </c>
    </row>
  </sheetData>
  <mergeCells count="2">
    <mergeCell ref="B20:C20"/>
    <mergeCell ref="C7:C10"/>
  </mergeCells>
  <conditionalFormatting sqref="A13">
    <cfRule type="expression" dxfId="81" priority="9">
      <formula>COUNTIF($D13:$G13,"&gt;17")&gt;0</formula>
    </cfRule>
  </conditionalFormatting>
  <conditionalFormatting sqref="A84">
    <cfRule type="expression" dxfId="80" priority="12">
      <formula>$C$80&gt;0</formula>
    </cfRule>
  </conditionalFormatting>
  <conditionalFormatting sqref="A88">
    <cfRule type="expression" dxfId="79" priority="10">
      <formula>$C$80&gt;0</formula>
    </cfRule>
  </conditionalFormatting>
  <conditionalFormatting sqref="B16">
    <cfRule type="cellIs" dxfId="78" priority="6" operator="equal">
      <formula>0.01</formula>
    </cfRule>
  </conditionalFormatting>
  <conditionalFormatting sqref="B124">
    <cfRule type="cellIs" dxfId="76" priority="78" operator="equal">
      <formula>0</formula>
    </cfRule>
  </conditionalFormatting>
  <conditionalFormatting sqref="B17:C17">
    <cfRule type="cellIs" dxfId="75" priority="7" stopIfTrue="1" operator="equal">
      <formula>1</formula>
    </cfRule>
  </conditionalFormatting>
  <conditionalFormatting sqref="B48:C48">
    <cfRule type="cellIs" dxfId="74" priority="5" stopIfTrue="1" operator="equal">
      <formula>1</formula>
    </cfRule>
  </conditionalFormatting>
  <conditionalFormatting sqref="B52:C52">
    <cfRule type="cellIs" dxfId="73" priority="1" stopIfTrue="1" operator="equal">
      <formula>1</formula>
    </cfRule>
  </conditionalFormatting>
  <conditionalFormatting sqref="B58:C58">
    <cfRule type="expression" dxfId="72" priority="36">
      <formula>$H$80&lt;0</formula>
    </cfRule>
  </conditionalFormatting>
  <conditionalFormatting sqref="C84">
    <cfRule type="expression" dxfId="70" priority="35">
      <formula>$E$7="n"</formula>
    </cfRule>
  </conditionalFormatting>
  <conditionalFormatting sqref="D18">
    <cfRule type="colorScale" priority="162">
      <colorScale>
        <cfvo type="min"/>
        <cfvo type="max"/>
        <color rgb="FFFF7128"/>
        <color rgb="FFFFEF9C"/>
      </colorScale>
    </cfRule>
    <cfRule type="expression" dxfId="69" priority="161">
      <formula>$D$12&gt;0</formula>
    </cfRule>
  </conditionalFormatting>
  <conditionalFormatting sqref="D50">
    <cfRule type="expression" dxfId="68" priority="130">
      <formula>$D$12&gt;0</formula>
    </cfRule>
  </conditionalFormatting>
  <conditionalFormatting sqref="D53">
    <cfRule type="expression" dxfId="67" priority="4">
      <formula>$D$12&gt;0</formula>
    </cfRule>
  </conditionalFormatting>
  <conditionalFormatting sqref="D111">
    <cfRule type="expression" dxfId="66" priority="67">
      <formula>$D$120&lt;0</formula>
    </cfRule>
    <cfRule type="expression" dxfId="65" priority="68">
      <formula>$D$120&gt;$D$118</formula>
    </cfRule>
  </conditionalFormatting>
  <conditionalFormatting sqref="D12:G12">
    <cfRule type="expression" dxfId="64" priority="8" stopIfTrue="1">
      <formula>$B$8&lt;&gt;""</formula>
    </cfRule>
  </conditionalFormatting>
  <conditionalFormatting sqref="D13:G13">
    <cfRule type="expression" dxfId="63" priority="13">
      <formula>$D$12=""</formula>
    </cfRule>
    <cfRule type="cellIs" dxfId="62" priority="45" operator="greaterThan">
      <formula>17</formula>
    </cfRule>
  </conditionalFormatting>
  <conditionalFormatting sqref="D18:G18">
    <cfRule type="containsText" dxfId="61" priority="20" operator="containsText" text="n1">
      <formula>NOT(ISERROR(SEARCH("n1",D18)))</formula>
    </cfRule>
    <cfRule type="containsText" dxfId="60" priority="19" operator="containsText" text="n2">
      <formula>NOT(ISERROR(SEARCH("n2",D18)))</formula>
    </cfRule>
  </conditionalFormatting>
  <conditionalFormatting sqref="D50:G50">
    <cfRule type="cellIs" dxfId="59" priority="110" operator="notEqual">
      <formula>0</formula>
    </cfRule>
  </conditionalFormatting>
  <conditionalFormatting sqref="D53:G53">
    <cfRule type="cellIs" dxfId="58" priority="2" operator="notEqual">
      <formula>0</formula>
    </cfRule>
  </conditionalFormatting>
  <conditionalFormatting sqref="D58:G58">
    <cfRule type="cellIs" dxfId="57" priority="108" operator="notEqual">
      <formula>0</formula>
    </cfRule>
    <cfRule type="expression" dxfId="56" priority="109">
      <formula>$D$12&gt;0</formula>
    </cfRule>
  </conditionalFormatting>
  <conditionalFormatting sqref="E18">
    <cfRule type="expression" dxfId="55" priority="33">
      <formula>$E$12&gt;0</formula>
    </cfRule>
    <cfRule type="colorScale" priority="34">
      <colorScale>
        <cfvo type="min"/>
        <cfvo type="max"/>
        <color rgb="FFFF7128"/>
        <color rgb="FFFFEF9C"/>
      </colorScale>
    </cfRule>
  </conditionalFormatting>
  <conditionalFormatting sqref="E50">
    <cfRule type="expression" dxfId="54" priority="115">
      <formula>$E$12&gt;0</formula>
    </cfRule>
  </conditionalFormatting>
  <conditionalFormatting sqref="E53">
    <cfRule type="expression" dxfId="53" priority="3">
      <formula>$E$12&gt;0</formula>
    </cfRule>
  </conditionalFormatting>
  <conditionalFormatting sqref="E111">
    <cfRule type="expression" dxfId="52" priority="66">
      <formula>$E$120&gt;$E$118</formula>
    </cfRule>
    <cfRule type="expression" dxfId="51" priority="65">
      <formula>$E$120&lt;0</formula>
    </cfRule>
  </conditionalFormatting>
  <conditionalFormatting sqref="E13:G13">
    <cfRule type="expression" dxfId="50" priority="14">
      <formula>$E$12=""</formula>
    </cfRule>
  </conditionalFormatting>
  <conditionalFormatting sqref="F18">
    <cfRule type="expression" dxfId="49" priority="25">
      <formula>$F$12&gt;0</formula>
    </cfRule>
    <cfRule type="colorScale" priority="26">
      <colorScale>
        <cfvo type="min"/>
        <cfvo type="max"/>
        <color rgb="FFFF7128"/>
        <color rgb="FFFFEF9C"/>
      </colorScale>
    </cfRule>
  </conditionalFormatting>
  <conditionalFormatting sqref="F50">
    <cfRule type="expression" dxfId="48" priority="113">
      <formula>$F$12&gt;0</formula>
    </cfRule>
  </conditionalFormatting>
  <conditionalFormatting sqref="F53">
    <cfRule type="expression" dxfId="47" priority="89">
      <formula>$F$12&gt;0</formula>
    </cfRule>
  </conditionalFormatting>
  <conditionalFormatting sqref="F111">
    <cfRule type="expression" dxfId="46" priority="63">
      <formula>$F$120&lt;0</formula>
    </cfRule>
    <cfRule type="expression" dxfId="45" priority="64">
      <formula>$F$120&gt;$F$118</formula>
    </cfRule>
  </conditionalFormatting>
  <conditionalFormatting sqref="F13:G13">
    <cfRule type="expression" dxfId="44" priority="15">
      <formula>$F$12=""</formula>
    </cfRule>
  </conditionalFormatting>
  <conditionalFormatting sqref="G13">
    <cfRule type="expression" dxfId="43" priority="41">
      <formula>$G$12=""</formula>
    </cfRule>
  </conditionalFormatting>
  <conditionalFormatting sqref="G18">
    <cfRule type="colorScale" priority="22">
      <colorScale>
        <cfvo type="min"/>
        <cfvo type="max"/>
        <color rgb="FFFF7128"/>
        <color rgb="FFFFEF9C"/>
      </colorScale>
    </cfRule>
    <cfRule type="expression" dxfId="42" priority="21">
      <formula>$G$12&gt;0</formula>
    </cfRule>
  </conditionalFormatting>
  <conditionalFormatting sqref="G50">
    <cfRule type="expression" dxfId="41" priority="111">
      <formula>$G$12&gt;0</formula>
    </cfRule>
  </conditionalFormatting>
  <conditionalFormatting sqref="G53">
    <cfRule type="expression" dxfId="40" priority="87">
      <formula>$G$12&gt;0</formula>
    </cfRule>
  </conditionalFormatting>
  <conditionalFormatting sqref="G111">
    <cfRule type="expression" dxfId="39" priority="61">
      <formula>$G$120&lt;0</formula>
    </cfRule>
    <cfRule type="expression" dxfId="38" priority="62">
      <formula>$G$120&gt;$G$118</formula>
    </cfRule>
  </conditionalFormatting>
  <conditionalFormatting sqref="H117">
    <cfRule type="cellIs" dxfId="37" priority="40" operator="notEqual">
      <formula>1</formula>
    </cfRule>
  </conditionalFormatting>
  <dataValidations xWindow="470" yWindow="392" count="18">
    <dataValidation type="whole" errorStyle="warning" operator="lessThan" allowBlank="1" showInputMessage="1" showErrorMessage="1" error="nur negative Werte" sqref="B51:C51" xr:uid="{00000000-0002-0000-0000-000000000000}">
      <formula1>0</formula1>
    </dataValidation>
    <dataValidation allowBlank="1" showInputMessage="1" showErrorMessage="1" prompt="bei Kindern eingeben" sqref="B30:C30 B47 B61 C60:C61 C46:C47 C53" xr:uid="{00000000-0002-0000-0000-000001000000}"/>
    <dataValidation type="list" allowBlank="1" showInputMessage="1" sqref="H4" xr:uid="{00000000-0002-0000-0000-000002000000}">
      <formula1>"2022,2023,2024,2025,2026,2027,2028,2029,2030,2031,2032,2033,2034,2035,2036,2037,2038,2039,2040,2041,2042,2043,2044,2045"</formula1>
    </dataValidation>
    <dataValidation type="list" allowBlank="1" showInputMessage="1" sqref="E2" xr:uid="{00000000-0002-0000-0000-000003000000}">
      <formula1>"d,f"</formula1>
    </dataValidation>
    <dataValidation allowBlank="1" showInputMessage="1" showErrorMessage="1" prompt="bei Elternteil eingeben" sqref="D62:G62 D67:G68 D31:G31" xr:uid="{00000000-0002-0000-0000-000004000000}"/>
    <dataValidation allowBlank="1" showInputMessage="1" showErrorMessage="1" prompt="links eingeben" sqref="C62" xr:uid="{00000000-0002-0000-0000-000005000000}"/>
    <dataValidation type="list" allowBlank="1" showInputMessage="1" showErrorMessage="1" sqref="C19 B15:C15" xr:uid="{00000000-0002-0000-0000-000007000000}">
      <formula1>"n,j,o"</formula1>
    </dataValidation>
    <dataValidation type="list" allowBlank="1" showInputMessage="1" showErrorMessage="1" prompt="&quot;j&quot; (ja): Eltern sind oder waren miteinander verheiratet._x000a_&quot;n&quot; (nein): Eltern waren nie miteinander verheiratet._x000a_&quot;o&quot; (oui&quot;): Les parents sont ou ont été mariés ensemble._x000a_&quot;n&quot; (non): Les parents n'ont jamais été mariés ensemble." sqref="E7" xr:uid="{00000000-0002-0000-0000-000008000000}">
      <formula1>"j,o,n"</formula1>
    </dataValidation>
    <dataValidation type="whole" operator="lessThan" allowBlank="1" showInputMessage="1" showErrorMessage="1" errorTitle="Nur negative Werte!" sqref="D47:G47" xr:uid="{00000000-0002-0000-0000-000009000000}">
      <formula1>0</formula1>
    </dataValidation>
    <dataValidation type="whole" errorStyle="warning" operator="lessThanOrEqual" allowBlank="1" showInputMessage="1" showErrorMessage="1" error="Nur negative Werte!" sqref="B84:G84" xr:uid="{00000000-0002-0000-0000-00000A000000}">
      <formula1>0</formula1>
    </dataValidation>
    <dataValidation allowBlank="1" showErrorMessage="1" sqref="C38 B35:B37 B31:C31 B60 B46 B32:B33 B53" xr:uid="{00000000-0002-0000-0000-00000B000000}"/>
    <dataValidation type="list" allowBlank="1" showInputMessage="1" showErrorMessage="1" prompt="Eingeben: &quot;n2&quot; für hauptbetreuenden Elternteil oder &quot;n1&quot; für unterhaltspflichtigen Elternteil._x000a_Entrée: &quot;n2&quot; pour le parent qui assure la prise en charge principale ou &quot;n1&quot; pour le débiteur de l'entretien." sqref="D18:G18" xr:uid="{00000000-0002-0000-0000-00000C000000}">
      <formula1>"n2,n1"</formula1>
    </dataValidation>
    <dataValidation type="list" errorStyle="warning" operator="greaterThan" allowBlank="1" showInputMessage="1" showErrorMessage="1" errorTitle="Achtung/Attention" error="Ist die Eingabe in 4 Stellen erfolgt?_x000a_L'entrée a-t-elle été faite en 4 figures?" prompt="Jahrgang in 4 Stellen eingeben._x000a_Introduire l'année de naissance en 4 figures." sqref="F12:G12" xr:uid="{00000000-0002-0000-0000-00000D000000}">
      <formula1>"2002,2003,2004,2005,2006,2007,2008,2009,2010,2011,2012,2013,2014,2015,2016,2017,2018,2019,2020,2021,2022,2023,2024,2025,2026,2027,2028"</formula1>
    </dataValidation>
    <dataValidation allowBlank="1" showInputMessage="1" showErrorMessage="1" prompt="Von persönlichem Unterhalt zu Betreuungsunterhalt: positive Zahl_x000a_Von Betreuungsunterhalt zu persönlichem Unterhalt: negative Zahl" sqref="B124" xr:uid="{00000000-0002-0000-0000-00000E000000}"/>
    <dataValidation allowBlank="1" showInputMessage="1" showErrorMessage="1" prompt="Von persönlichem Unterhalt zu Betreuungsunterhalt: negative Zahl_x000a_Von Betreuungsunterhalt zu persönlichem Unterhalt: positive Zahl" sqref="C124" xr:uid="{00000000-0002-0000-0000-00000F000000}"/>
    <dataValidation type="whole" errorStyle="warning" operator="greaterThanOrEqual" allowBlank="1" showInputMessage="1" showErrorMessage="1" error="Keine negativen Werte!" sqref="C119" xr:uid="{2B7FE3A2-8371-4DD1-8261-CF585D799F4B}">
      <formula1>0</formula1>
    </dataValidation>
    <dataValidation allowBlank="1" showInputMessage="1" showErrorMessage="1" promptTitle="Achtung! / Attention !" prompt="Besteuerung nur eines Teils der Leistungen (Art. 22 Abs. 3 DBG), siehe Blatt &quot;Steuerangaben&quot;._x000a_Imposition seulement d'une part des prestations (art. 22 al. 3 LIFD), voir feuille &quot;Steuerangaben&quot;." sqref="B34:C34" xr:uid="{2CB12FE7-4FA6-4827-B1A8-65D6C7015EFF}"/>
    <dataValidation type="list" errorStyle="warning" operator="greaterThan" allowBlank="1" showInputMessage="1" showErrorMessage="1" errorTitle="Achtung/Attention" error="Ist die Eingabe in 4 Stellen erfolgt?_x000a_L'entrée a-t-elle été faite en 4 figures?" prompt="Jahrgang in 4 Stellen eingeben._x000a_Introduire l'année de naissance en 4 figures." sqref="D12:E12" xr:uid="{4EE64536-B209-4DF8-A863-9B1AA5B24FB9}">
      <formula1>"2002,2003,2004,2005,2006,2007,2008,2009,2010,2011,2012,2013,2014,2015,2016,2017,2018,2019,2020,2021,2022,2023,2024,2025,2026"</formula1>
    </dataValidation>
  </dataValidations>
  <hyperlinks>
    <hyperlink ref="H1" r:id="rId1" display="© berechnungsblaetter.ch 01.24" xr:uid="{D39180D3-767C-407E-BB69-D9F62141732F}"/>
  </hyperlinks>
  <pageMargins left="0.78740157480314965" right="0.39370078740157483" top="0.78740157480314965" bottom="0" header="0.31496062992125984" footer="0"/>
  <pageSetup paperSize="9" scale="66" fitToHeight="2" orientation="portrait" blackAndWhite="1" r:id="rId2"/>
  <headerFooter differentFirst="1">
    <oddHeader>&amp;R&amp;P</oddHeader>
  </headerFooter>
  <rowBreaks count="1" manualBreakCount="1">
    <brk id="73" max="16383"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39" id="{21474BD8-2DB6-47D8-87A8-F44D730864FA}">
            <xm:f>Steuerberechnung!$D$43=0</xm:f>
            <x14:dxf>
              <fill>
                <patternFill>
                  <bgColor theme="5" tint="0.59996337778862885"/>
                </patternFill>
              </fill>
            </x14:dxf>
          </x14:cfRule>
          <xm:sqref>B58</xm:sqref>
        </x14:conditionalFormatting>
        <x14:conditionalFormatting xmlns:xm="http://schemas.microsoft.com/office/excel/2006/main">
          <x14:cfRule type="expression" priority="37" id="{1AC78F0F-3A08-4187-AAA2-CDBDDC3101BD}">
            <xm:f>Steuerberechnung!$B$43=0</xm:f>
            <x14:dxf>
              <fill>
                <patternFill>
                  <bgColor theme="5" tint="0.59996337778862885"/>
                </patternFill>
              </fill>
            </x14:dxf>
          </x14:cfRule>
          <xm:sqref>C58</xm:sqref>
        </x14:conditionalFormatting>
      </x14:conditionalFormattings>
    </ext>
    <ext xmlns:x14="http://schemas.microsoft.com/office/spreadsheetml/2009/9/main" uri="{CCE6A557-97BC-4b89-ADB6-D9C93CAAB3DF}">
      <x14:dataValidations xmlns:xm="http://schemas.microsoft.com/office/excel/2006/main" xWindow="470" yWindow="392" count="2">
        <x14:dataValidation type="list" allowBlank="1" prompt="Steuerberechnung möglich für BE, ZH, AG, SG, SO, BL, BS._x000a_Calcul des impôts possible pour BE, ZH, AG, SG, SO, BL, BS." xr:uid="{00000000-0002-0000-0000-000006000000}">
          <x14:formula1>
            <xm:f>Grundlagen!F$5:O$5</xm:f>
          </x14:formula1>
          <xm:sqref>B14</xm:sqref>
        </x14:dataValidation>
        <x14:dataValidation type="list" allowBlank="1" prompt="Steuerberechnung möglich für BE, ZH, AG, SG, SO, BL, BS._x000a_Calcul des impôts possible pour BE, ZH, AG, SG, SO, BL, BS." xr:uid="{B744CE07-7ECC-45D3-B865-0A539DCD346C}">
          <x14:formula1>
            <xm:f>Grundlagen!F$5:O$5</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8"/>
  <dimension ref="A1:I138"/>
  <sheetViews>
    <sheetView zoomScaleNormal="100" workbookViewId="0">
      <selection activeCell="A5" sqref="A5"/>
      <extLst>
        <ext xmlns:xlsdti="http://schemas.microsoft.com/office/spreadsheetml/2023/showDataTypeIcons" uri="{77bfe23e-c014-4d31-8a63-9c772dbf06b6}">
          <xlsdti:showDataTypeIcons visible="0"/>
        </ext>
      </extLst>
    </sheetView>
  </sheetViews>
  <sheetFormatPr baseColWidth="10" defaultRowHeight="13.2" x14ac:dyDescent="0.25"/>
  <cols>
    <col min="1" max="1" width="40.109375" style="218" customWidth="1"/>
    <col min="2" max="7" width="10.6640625" style="116" customWidth="1"/>
    <col min="8" max="8" width="11.109375" style="227" customWidth="1"/>
  </cols>
  <sheetData>
    <row r="1" spans="1:8" x14ac:dyDescent="0.25">
      <c r="A1" s="217" t="str">
        <f>Hauptblatt!A1</f>
        <v>Autoren:</v>
      </c>
      <c r="C1" s="234">
        <f ca="1">Hauptblatt!C1</f>
        <v>45926</v>
      </c>
      <c r="E1" s="23" t="str">
        <f>Hauptblatt!E1</f>
        <v>Sprache/langue (d/f):</v>
      </c>
      <c r="F1" s="4"/>
      <c r="G1" s="4"/>
      <c r="H1" s="99" t="str">
        <f>Hauptblatt!H1</f>
        <v>© berechnungsblaetter.ch 10.25</v>
      </c>
    </row>
    <row r="2" spans="1:8" x14ac:dyDescent="0.25">
      <c r="A2" s="227" t="str">
        <f>Hauptblatt!A2</f>
        <v>Daniel Bähler und Annette Spycher</v>
      </c>
      <c r="B2" s="227"/>
      <c r="C2" s="2"/>
      <c r="E2" s="151" t="str">
        <f>Hauptblatt!E2</f>
        <v>d</v>
      </c>
      <c r="F2" s="4"/>
      <c r="G2" s="4"/>
      <c r="H2" s="228" t="str">
        <f>Hauptblatt!H2</f>
        <v>Auflage Oktober 2025</v>
      </c>
    </row>
    <row r="3" spans="1:8" x14ac:dyDescent="0.25">
      <c r="H3" s="235">
        <f>Hauptblatt!H3</f>
        <v>0</v>
      </c>
    </row>
    <row r="4" spans="1:8" ht="17.399999999999999" x14ac:dyDescent="0.3">
      <c r="A4" s="230" t="str">
        <f>Hauptblatt!A4</f>
        <v>Berechnungstabelle für Unterhaltsbeiträge</v>
      </c>
      <c r="D4" s="285" t="str">
        <f>IF(E2="f","résumé","Zusammenfassung")</f>
        <v>Zusammenfassung</v>
      </c>
      <c r="H4" s="133">
        <f>Hauptblatt!H4</f>
        <v>2026</v>
      </c>
    </row>
    <row r="6" spans="1:8" x14ac:dyDescent="0.25">
      <c r="A6" s="217" t="str">
        <f>Hauptblatt!A6</f>
        <v>Namen:</v>
      </c>
      <c r="H6" s="235"/>
    </row>
    <row r="7" spans="1:8" x14ac:dyDescent="0.25">
      <c r="A7" s="226" t="str">
        <f>Hauptblatt!A7</f>
        <v>Martin und Franziska</v>
      </c>
      <c r="D7" s="253" t="str">
        <f>Hauptblatt!E6</f>
        <v>verheiratet/geschieden (j/n)</v>
      </c>
      <c r="E7" s="252" t="str">
        <f>Hauptblatt!E7</f>
        <v>j</v>
      </c>
      <c r="F7" s="235"/>
      <c r="H7" s="235"/>
    </row>
    <row r="8" spans="1:8" x14ac:dyDescent="0.25">
      <c r="A8" s="226" t="str">
        <f>IF(Hauptblatt!A8="","",Hauptblatt!A8)</f>
        <v/>
      </c>
      <c r="B8" s="115"/>
      <c r="C8" s="357" t="str">
        <f>Hauptblatt!C7</f>
        <v>haupt-betreuend (n2)</v>
      </c>
      <c r="F8" s="235"/>
      <c r="G8" s="235"/>
      <c r="H8" s="235"/>
    </row>
    <row r="9" spans="1:8" x14ac:dyDescent="0.25">
      <c r="A9" s="294"/>
      <c r="B9" s="115"/>
      <c r="C9" s="358"/>
      <c r="F9" s="235"/>
      <c r="H9" s="235"/>
    </row>
    <row r="10" spans="1:8" ht="37.5" customHeight="1" x14ac:dyDescent="0.25">
      <c r="A10" s="164"/>
      <c r="B10" s="282" t="str">
        <f>Hauptblatt!B10</f>
        <v>unterhalts-pflichtig (n1)</v>
      </c>
      <c r="C10" s="358"/>
      <c r="F10" s="235"/>
      <c r="H10"/>
    </row>
    <row r="11" spans="1:8" x14ac:dyDescent="0.25">
      <c r="A11" s="218" t="str">
        <f>Hauptblatt!A11</f>
        <v>Name/Bezeichnung</v>
      </c>
      <c r="B11" s="228" t="str">
        <f>Hauptblatt!B11</f>
        <v>Martin</v>
      </c>
      <c r="C11" s="228" t="str">
        <f>Hauptblatt!C11</f>
        <v>Franziska</v>
      </c>
      <c r="D11" s="228" t="str">
        <f>Hauptblatt!D11</f>
        <v>Tanja</v>
      </c>
      <c r="E11" s="228" t="str">
        <f>Hauptblatt!E11</f>
        <v>Sandro</v>
      </c>
      <c r="F11" s="228">
        <f>Hauptblatt!F11</f>
        <v>0</v>
      </c>
      <c r="G11" s="228">
        <f>Hauptblatt!G11</f>
        <v>0</v>
      </c>
    </row>
    <row r="12" spans="1:8" x14ac:dyDescent="0.25">
      <c r="A12" s="218" t="str">
        <f>Hauptblatt!A12</f>
        <v>Jahrgang</v>
      </c>
      <c r="B12" s="231">
        <f>IF(Hauptblatt!B12="","",Hauptblatt!B12)</f>
        <v>1977</v>
      </c>
      <c r="C12" s="231">
        <f>IF(Hauptblatt!C12="","",Hauptblatt!C12)</f>
        <v>1978</v>
      </c>
      <c r="D12" s="231">
        <f>IF(Hauptblatt!D12="","",Hauptblatt!D12)</f>
        <v>2013</v>
      </c>
      <c r="E12" s="231">
        <f>IF(Hauptblatt!E12="","",Hauptblatt!E12)</f>
        <v>2017</v>
      </c>
      <c r="F12" s="231" t="str">
        <f>IF(Hauptblatt!F12="","",Hauptblatt!F12)</f>
        <v/>
      </c>
      <c r="G12" s="231" t="str">
        <f>IF(Hauptblatt!G12="","",Hauptblatt!G12)</f>
        <v/>
      </c>
      <c r="H12" s="52"/>
    </row>
    <row r="13" spans="1:8" x14ac:dyDescent="0.25">
      <c r="A13" s="218" t="str">
        <f>Hauptblatt!A13</f>
        <v>Alter</v>
      </c>
      <c r="B13" s="116">
        <f>Hauptblatt!B13</f>
        <v>49</v>
      </c>
      <c r="C13" s="116">
        <f>Hauptblatt!C13</f>
        <v>48</v>
      </c>
      <c r="D13" s="116">
        <f>Hauptblatt!D13</f>
        <v>13</v>
      </c>
      <c r="E13" s="116">
        <f>Hauptblatt!E13</f>
        <v>9</v>
      </c>
      <c r="F13" s="116" t="str">
        <f>Hauptblatt!F13</f>
        <v/>
      </c>
      <c r="G13" s="116" t="str">
        <f>Hauptblatt!G13</f>
        <v/>
      </c>
      <c r="H13" s="52"/>
    </row>
    <row r="14" spans="1:8" hidden="1" x14ac:dyDescent="0.25">
      <c r="A14" s="218" t="str">
        <f>Hauptblatt!A14</f>
        <v>Wohnsitzkanton (Autokennzeichen)</v>
      </c>
      <c r="B14" s="243" t="str">
        <f>Hauptblatt!B14</f>
        <v>BE</v>
      </c>
      <c r="C14" s="243" t="str">
        <f>Hauptblatt!C14</f>
        <v>BE</v>
      </c>
      <c r="D14" s="116" t="str">
        <f>IF(OR(B14="BL",C14="BL")," ggf. Fehlermeldung Steuern löschen und Steuern neu berechnen!","")</f>
        <v/>
      </c>
      <c r="H14" s="52"/>
    </row>
    <row r="15" spans="1:8" hidden="1" x14ac:dyDescent="0.25">
      <c r="A15" s="218" t="str">
        <f>Hauptblatt!A15</f>
        <v>Wohngemeinschaft (j/n)</v>
      </c>
      <c r="B15" s="240" t="str">
        <f>Hauptblatt!B15</f>
        <v>n</v>
      </c>
      <c r="C15" s="241" t="str">
        <f>Hauptblatt!C15</f>
        <v>n</v>
      </c>
      <c r="H15" s="52"/>
    </row>
    <row r="16" spans="1:8" hidden="1" x14ac:dyDescent="0.25">
      <c r="A16" s="218" t="str">
        <f>Hauptblatt!A16</f>
        <v>Beschäftigungsgrad</v>
      </c>
      <c r="B16" s="265">
        <f>Hauptblatt!B16</f>
        <v>1</v>
      </c>
      <c r="C16" s="265">
        <f>Hauptblatt!C16</f>
        <v>0.3</v>
      </c>
      <c r="H16" s="52"/>
    </row>
    <row r="17" spans="1:8" hidden="1" x14ac:dyDescent="0.25">
      <c r="A17" s="218" t="str">
        <f>Hauptblatt!A17</f>
        <v>Nettoeinkommen bei 100%</v>
      </c>
      <c r="B17" s="266">
        <f>Hauptblatt!B17</f>
        <v>10000</v>
      </c>
      <c r="C17" s="266">
        <f>Hauptblatt!C17</f>
        <v>6000</v>
      </c>
      <c r="H17" s="52"/>
    </row>
    <row r="18" spans="1:8" hidden="1" x14ac:dyDescent="0.25">
      <c r="A18" s="218" t="str">
        <f>Hauptblatt!A18</f>
        <v>Bezug Familienzulage (n2/n1)</v>
      </c>
      <c r="D18" s="246" t="str">
        <f>IF(Hauptblatt!D18="","",Hauptblatt!D18)</f>
        <v>n2</v>
      </c>
      <c r="E18" s="246" t="str">
        <f>IF(Hauptblatt!E18="","",Hauptblatt!E18)</f>
        <v>n2</v>
      </c>
      <c r="F18" s="246" t="str">
        <f>IF(Hauptblatt!F18="","",Hauptblatt!F18)</f>
        <v/>
      </c>
      <c r="G18" s="246" t="str">
        <f>IF(Hauptblatt!G18="","",Hauptblatt!G18)</f>
        <v/>
      </c>
      <c r="H18" s="52"/>
    </row>
    <row r="19" spans="1:8" hidden="1" x14ac:dyDescent="0.25">
      <c r="A19" s="218" t="str">
        <f>Hauptblatt!A19</f>
        <v>Vorsorgeunterhalt (j/n)</v>
      </c>
      <c r="C19" s="241" t="str">
        <f>Hauptblatt!C19</f>
        <v>j</v>
      </c>
      <c r="D19" s="116" t="str">
        <f>IF(C12="",IF(C19="n","",IF($E$2="f","année de naissance manque !","Jahrgang fehlt!")),"")</f>
        <v/>
      </c>
      <c r="H19" s="52"/>
    </row>
    <row r="20" spans="1:8" hidden="1" x14ac:dyDescent="0.25">
      <c r="A20" s="218" t="str">
        <f>Hauptblatt!A20</f>
        <v>Sparquote (Betrag)</v>
      </c>
      <c r="B20" s="356" t="str">
        <f>IF(Hauptblatt!B20="","",Hauptblatt!B20)</f>
        <v/>
      </c>
      <c r="C20" s="356"/>
      <c r="H20" s="52"/>
    </row>
    <row r="21" spans="1:8" hidden="1" x14ac:dyDescent="0.25"/>
    <row r="23" spans="1:8" ht="15.6" x14ac:dyDescent="0.3">
      <c r="A23" s="219" t="str">
        <f>IF(E2="f","Moyens disponibles","Verfügbare Mittel")</f>
        <v>Verfügbare Mittel</v>
      </c>
      <c r="H23" s="52" t="s">
        <v>0</v>
      </c>
    </row>
    <row r="25" spans="1:8" hidden="1" x14ac:dyDescent="0.25">
      <c r="A25" s="218" t="str">
        <f>Hauptblatt!A26</f>
        <v>Nettoeinkommen</v>
      </c>
      <c r="B25" s="118">
        <f>IF(Hauptblatt!B26="","",Hauptblatt!B26)</f>
        <v>10000</v>
      </c>
      <c r="C25" s="118">
        <f>IF(Hauptblatt!C26="","",Hauptblatt!C26)</f>
        <v>1800</v>
      </c>
      <c r="D25" s="118" t="str">
        <f>IF(Hauptblatt!D26="","",Hauptblatt!D26)</f>
        <v/>
      </c>
      <c r="E25" s="118" t="str">
        <f>IF(Hauptblatt!E26="","",Hauptblatt!E26)</f>
        <v/>
      </c>
      <c r="F25" s="118" t="str">
        <f>IF(Hauptblatt!F26="","",Hauptblatt!F26)</f>
        <v/>
      </c>
      <c r="G25" s="118" t="str">
        <f>IF(Hauptblatt!G26="","",Hauptblatt!G26)</f>
        <v/>
      </c>
      <c r="H25" s="227">
        <f>Hauptblatt!H26</f>
        <v>11800</v>
      </c>
    </row>
    <row r="26" spans="1:8" hidden="1" x14ac:dyDescent="0.25">
      <c r="A26" s="218" t="str">
        <f>Hauptblatt!A27</f>
        <v>13. Monatslohn</v>
      </c>
      <c r="B26" s="118">
        <f>IF(Hauptblatt!B27="","",Hauptblatt!B27)</f>
        <v>833.33333333333337</v>
      </c>
      <c r="C26" s="118">
        <f>IF(Hauptblatt!C27="","",Hauptblatt!C27)</f>
        <v>150</v>
      </c>
      <c r="D26" s="118" t="str">
        <f>IF(Hauptblatt!D27="","",Hauptblatt!D27)</f>
        <v/>
      </c>
      <c r="E26" s="118" t="str">
        <f>IF(Hauptblatt!E27="","",Hauptblatt!E27)</f>
        <v/>
      </c>
      <c r="F26" s="118" t="str">
        <f>IF(Hauptblatt!F27="","",Hauptblatt!F27)</f>
        <v/>
      </c>
      <c r="G26" s="118" t="str">
        <f>IF(Hauptblatt!G27="","",Hauptblatt!G27)</f>
        <v/>
      </c>
      <c r="H26" s="227">
        <f>Hauptblatt!H27</f>
        <v>983.33333333333337</v>
      </c>
    </row>
    <row r="27" spans="1:8" hidden="1" x14ac:dyDescent="0.25">
      <c r="A27" s="218" t="str">
        <f>Hauptblatt!A28</f>
        <v>Zusatzeinkommen</v>
      </c>
      <c r="B27" s="118" t="str">
        <f>IF(Hauptblatt!B28="","",Hauptblatt!B28)</f>
        <v/>
      </c>
      <c r="C27" s="118" t="str">
        <f>IF(Hauptblatt!C28="","",Hauptblatt!C28)</f>
        <v/>
      </c>
      <c r="D27" s="118" t="str">
        <f>IF(Hauptblatt!D28="","",Hauptblatt!D28)</f>
        <v/>
      </c>
      <c r="E27" s="118" t="str">
        <f>IF(Hauptblatt!E28="","",Hauptblatt!E28)</f>
        <v/>
      </c>
      <c r="F27" s="118" t="str">
        <f>IF(Hauptblatt!F28="","",Hauptblatt!F28)</f>
        <v/>
      </c>
      <c r="G27" s="118" t="str">
        <f>IF(Hauptblatt!G28="","",Hauptblatt!G28)</f>
        <v/>
      </c>
      <c r="H27" s="227">
        <f>Hauptblatt!H28</f>
        <v>0</v>
      </c>
    </row>
    <row r="28" spans="1:8" hidden="1" x14ac:dyDescent="0.25">
      <c r="A28" s="218" t="str">
        <f>Hauptblatt!A29</f>
        <v>Nebenerwerbseinkommen</v>
      </c>
      <c r="B28" s="118" t="str">
        <f>IF(Hauptblatt!B29="","",Hauptblatt!B29)</f>
        <v/>
      </c>
      <c r="C28" s="118" t="str">
        <f>IF(Hauptblatt!C29="","",Hauptblatt!C29)</f>
        <v/>
      </c>
      <c r="D28" s="118" t="str">
        <f>IF(Hauptblatt!D29="","",Hauptblatt!D29)</f>
        <v/>
      </c>
      <c r="E28" s="118" t="str">
        <f>IF(Hauptblatt!E29="","",Hauptblatt!E29)</f>
        <v/>
      </c>
      <c r="F28" s="118" t="str">
        <f>IF(Hauptblatt!F29="","",Hauptblatt!F29)</f>
        <v/>
      </c>
      <c r="G28" s="118" t="str">
        <f>IF(Hauptblatt!G29="","",Hauptblatt!G29)</f>
        <v/>
      </c>
      <c r="H28" s="227">
        <f>Hauptblatt!H29</f>
        <v>0</v>
      </c>
    </row>
    <row r="29" spans="1:8" hidden="1" x14ac:dyDescent="0.25">
      <c r="A29" s="218" t="str">
        <f>Hauptblatt!A30</f>
        <v>Familienzulagen</v>
      </c>
      <c r="B29" s="26" t="s">
        <v>6</v>
      </c>
      <c r="C29" s="26" t="s">
        <v>6</v>
      </c>
      <c r="D29" s="238">
        <f>IF(Hauptblatt!D30="","",Hauptblatt!D30)</f>
        <v>250</v>
      </c>
      <c r="E29" s="238">
        <f>IF(Hauptblatt!E30="","",Hauptblatt!E30)</f>
        <v>250</v>
      </c>
      <c r="F29" s="238" t="str">
        <f>IF(Hauptblatt!F30="","",Hauptblatt!F30)</f>
        <v/>
      </c>
      <c r="G29" s="238" t="str">
        <f>IF(Hauptblatt!G30="","",Hauptblatt!G30)</f>
        <v/>
      </c>
      <c r="H29" s="227">
        <f>Hauptblatt!H30</f>
        <v>500</v>
      </c>
    </row>
    <row r="30" spans="1:8" hidden="1" x14ac:dyDescent="0.25">
      <c r="A30" s="218" t="str">
        <f>Hauptblatt!A31</f>
        <v>Familienzulagen andere Kinder</v>
      </c>
      <c r="B30" s="264" t="str">
        <f>IF(Hauptblatt!B31="","",Hauptblatt!B31)</f>
        <v/>
      </c>
      <c r="C30" s="264" t="str">
        <f>IF(Hauptblatt!C31="","",Hauptblatt!C31)</f>
        <v/>
      </c>
      <c r="D30" s="264" t="str">
        <f>IF(Hauptblatt!D31="","",Hauptblatt!D31)</f>
        <v>---</v>
      </c>
      <c r="E30" s="264" t="str">
        <f>IF(Hauptblatt!E31="","",Hauptblatt!E31)</f>
        <v>---</v>
      </c>
      <c r="F30" s="264" t="str">
        <f>IF(Hauptblatt!F31="","",Hauptblatt!F31)</f>
        <v>---</v>
      </c>
      <c r="G30" s="264" t="str">
        <f>IF(Hauptblatt!G31="","",Hauptblatt!G31)</f>
        <v>---</v>
      </c>
      <c r="H30" s="227">
        <f>Hauptblatt!H31</f>
        <v>0</v>
      </c>
    </row>
    <row r="31" spans="1:8" hidden="1" x14ac:dyDescent="0.25">
      <c r="A31" s="218" t="str">
        <f>Hauptblatt!A32</f>
        <v>Rente AHV/IV</v>
      </c>
      <c r="B31" s="264" t="str">
        <f>IF(Hauptblatt!B32="","",Hauptblatt!B32)</f>
        <v/>
      </c>
      <c r="C31" s="264" t="str">
        <f>IF(Hauptblatt!C32="","",Hauptblatt!C32)</f>
        <v/>
      </c>
      <c r="D31" s="264" t="str">
        <f>IF(Hauptblatt!D32="","",Hauptblatt!D32)</f>
        <v/>
      </c>
      <c r="E31" s="264" t="str">
        <f>IF(Hauptblatt!E32="","",Hauptblatt!E32)</f>
        <v/>
      </c>
      <c r="F31" s="264" t="str">
        <f>IF(Hauptblatt!F32="","",Hauptblatt!F32)</f>
        <v/>
      </c>
      <c r="G31" s="264" t="str">
        <f>IF(Hauptblatt!G32="","",Hauptblatt!G32)</f>
        <v/>
      </c>
      <c r="H31" s="227">
        <f>Hauptblatt!H32</f>
        <v>0</v>
      </c>
    </row>
    <row r="32" spans="1:8" hidden="1" x14ac:dyDescent="0.25">
      <c r="A32" s="218" t="str">
        <f>Hauptblatt!A33</f>
        <v>Rente berufliche Vorsorge</v>
      </c>
      <c r="B32" s="264" t="str">
        <f>IF(Hauptblatt!B33="","",Hauptblatt!B33)</f>
        <v/>
      </c>
      <c r="C32" s="264" t="str">
        <f>IF(Hauptblatt!C33="","",Hauptblatt!C33)</f>
        <v/>
      </c>
      <c r="D32" s="264" t="str">
        <f>IF(Hauptblatt!D33="","",Hauptblatt!D33)</f>
        <v/>
      </c>
      <c r="E32" s="264" t="str">
        <f>IF(Hauptblatt!E33="","",Hauptblatt!E33)</f>
        <v/>
      </c>
      <c r="F32" s="264" t="str">
        <f>IF(Hauptblatt!F33="","",Hauptblatt!F33)</f>
        <v/>
      </c>
      <c r="G32" s="264" t="str">
        <f>IF(Hauptblatt!G33="","",Hauptblatt!G33)</f>
        <v/>
      </c>
      <c r="H32" s="227">
        <f>Hauptblatt!H33</f>
        <v>0</v>
      </c>
    </row>
    <row r="33" spans="1:8" hidden="1" x14ac:dyDescent="0.25">
      <c r="A33" s="218" t="str">
        <f>Hauptblatt!A34</f>
        <v>Rente Lebensversicherung</v>
      </c>
      <c r="B33" s="264" t="str">
        <f>IF(Hauptblatt!B34="","",Hauptblatt!B34)</f>
        <v/>
      </c>
      <c r="C33" s="264" t="str">
        <f>IF(Hauptblatt!C34="","",Hauptblatt!C34)</f>
        <v/>
      </c>
      <c r="D33" s="264" t="str">
        <f>IF(Hauptblatt!D34="","",Hauptblatt!D34)</f>
        <v/>
      </c>
      <c r="E33" s="264" t="str">
        <f>IF(Hauptblatt!E34="","",Hauptblatt!E34)</f>
        <v/>
      </c>
      <c r="F33" s="264" t="str">
        <f>IF(Hauptblatt!F34="","",Hauptblatt!F34)</f>
        <v/>
      </c>
      <c r="G33" s="264" t="str">
        <f>IF(Hauptblatt!G34="","",Hauptblatt!G34)</f>
        <v/>
      </c>
      <c r="H33" s="227">
        <f>Hauptblatt!H34</f>
        <v>0</v>
      </c>
    </row>
    <row r="34" spans="1:8" hidden="1" x14ac:dyDescent="0.25">
      <c r="A34" s="218" t="str">
        <f>Hauptblatt!A35</f>
        <v>Vermögensertrag</v>
      </c>
      <c r="B34" s="264" t="str">
        <f>IF(Hauptblatt!B35="","",Hauptblatt!B35)</f>
        <v/>
      </c>
      <c r="C34" s="264" t="str">
        <f>IF(Hauptblatt!C35="","",Hauptblatt!C35)</f>
        <v/>
      </c>
      <c r="D34" s="264" t="str">
        <f>IF(Hauptblatt!D35="","",Hauptblatt!D35)</f>
        <v/>
      </c>
      <c r="E34" s="264" t="str">
        <f>IF(Hauptblatt!E35="","",Hauptblatt!E35)</f>
        <v/>
      </c>
      <c r="F34" s="264" t="str">
        <f>IF(Hauptblatt!F35="","",Hauptblatt!F35)</f>
        <v/>
      </c>
      <c r="G34" s="264" t="str">
        <f>IF(Hauptblatt!G35="","",Hauptblatt!G35)</f>
        <v/>
      </c>
      <c r="H34" s="227">
        <f>Hauptblatt!H35</f>
        <v>0</v>
      </c>
    </row>
    <row r="35" spans="1:8" hidden="1" x14ac:dyDescent="0.25">
      <c r="A35" s="218" t="str">
        <f>Hauptblatt!A36</f>
        <v>Unterhaltsbeiträge von Dritten</v>
      </c>
      <c r="B35" s="264" t="str">
        <f>IF(Hauptblatt!B36="","",Hauptblatt!B36)</f>
        <v/>
      </c>
      <c r="C35" s="264" t="str">
        <f>IF(Hauptblatt!C36="","",Hauptblatt!C36)</f>
        <v/>
      </c>
      <c r="D35" s="264" t="str">
        <f>IF(Hauptblatt!D36="","",Hauptblatt!D36)</f>
        <v/>
      </c>
      <c r="E35" s="264" t="str">
        <f>IF(Hauptblatt!E36="","",Hauptblatt!E36)</f>
        <v/>
      </c>
      <c r="F35" s="264" t="str">
        <f>IF(Hauptblatt!F36="","",Hauptblatt!F36)</f>
        <v/>
      </c>
      <c r="G35" s="264" t="str">
        <f>IF(Hauptblatt!G36="","",Hauptblatt!G36)</f>
        <v/>
      </c>
      <c r="H35" s="227">
        <f>Hauptblatt!H36</f>
        <v>0</v>
      </c>
    </row>
    <row r="36" spans="1:8" s="85" customFormat="1" hidden="1" x14ac:dyDescent="0.25">
      <c r="A36" s="224" t="str">
        <f>IF(Hauptblatt!A38="","",Hauptblatt!A38)</f>
        <v/>
      </c>
      <c r="B36" s="264" t="str">
        <f>IF(Hauptblatt!B38="","",Hauptblatt!B38)</f>
        <v/>
      </c>
      <c r="C36" s="264" t="str">
        <f>IF(Hauptblatt!C38="","",Hauptblatt!C38)</f>
        <v/>
      </c>
      <c r="D36" s="264" t="str">
        <f>IF(Hauptblatt!D38="","",Hauptblatt!D38)</f>
        <v/>
      </c>
      <c r="E36" s="264" t="str">
        <f>IF(Hauptblatt!E38="","",Hauptblatt!E38)</f>
        <v/>
      </c>
      <c r="F36" s="264" t="str">
        <f>IF(Hauptblatt!F38="","",Hauptblatt!F38)</f>
        <v/>
      </c>
      <c r="G36" s="264" t="str">
        <f>IF(Hauptblatt!G38="","",Hauptblatt!G38)</f>
        <v/>
      </c>
      <c r="H36" s="227" t="str">
        <f>IF(Hauptblatt!H38="","",Hauptblatt!H38)</f>
        <v/>
      </c>
    </row>
    <row r="37" spans="1:8" hidden="1" x14ac:dyDescent="0.25">
      <c r="A37" s="224" t="str">
        <f>IF(Hauptblatt!A39="","",Hauptblatt!A39)</f>
        <v/>
      </c>
      <c r="B37" s="264" t="str">
        <f>IF(Hauptblatt!B39="","",Hauptblatt!B39)</f>
        <v/>
      </c>
      <c r="C37" s="264" t="str">
        <f>IF(Hauptblatt!C39="","",Hauptblatt!C39)</f>
        <v/>
      </c>
      <c r="D37" s="264" t="str">
        <f>IF(Hauptblatt!D39="","",Hauptblatt!D39)</f>
        <v/>
      </c>
      <c r="E37" s="264" t="str">
        <f>IF(Hauptblatt!E39="","",Hauptblatt!E39)</f>
        <v/>
      </c>
      <c r="F37" s="264" t="str">
        <f>IF(Hauptblatt!F39="","",Hauptblatt!F39)</f>
        <v/>
      </c>
      <c r="G37" s="264" t="str">
        <f>IF(Hauptblatt!G39="","",Hauptblatt!G39)</f>
        <v/>
      </c>
      <c r="H37" s="227" t="str">
        <f>IF(Hauptblatt!H39="","",Hauptblatt!H39)</f>
        <v/>
      </c>
    </row>
    <row r="38" spans="1:8" s="59" customFormat="1" x14ac:dyDescent="0.25">
      <c r="A38" s="226" t="str">
        <f>Hauptblatt!A72</f>
        <v>Total</v>
      </c>
      <c r="B38" s="227">
        <f>Hauptblatt!B40</f>
        <v>10833.333333333334</v>
      </c>
      <c r="C38" s="227">
        <f>Hauptblatt!C40</f>
        <v>1950</v>
      </c>
      <c r="D38" s="227">
        <f>Hauptblatt!D40</f>
        <v>250</v>
      </c>
      <c r="E38" s="227">
        <f>Hauptblatt!E40</f>
        <v>250</v>
      </c>
      <c r="F38" s="227">
        <f>Hauptblatt!F40</f>
        <v>0</v>
      </c>
      <c r="G38" s="227">
        <f>Hauptblatt!G40</f>
        <v>0</v>
      </c>
      <c r="H38" s="227">
        <f>Hauptblatt!H40</f>
        <v>13283.333333333334</v>
      </c>
    </row>
    <row r="39" spans="1:8" s="59" customFormat="1" hidden="1" x14ac:dyDescent="0.25">
      <c r="A39" s="226"/>
      <c r="B39" s="263">
        <f>Hauptblatt!B41</f>
        <v>0.84745762711864403</v>
      </c>
      <c r="C39" s="263">
        <f>Hauptblatt!C41</f>
        <v>0.15254237288135597</v>
      </c>
      <c r="D39" s="227"/>
      <c r="E39" s="227"/>
      <c r="F39" s="227"/>
      <c r="G39" s="227"/>
      <c r="H39" s="227"/>
    </row>
    <row r="40" spans="1:8" x14ac:dyDescent="0.25">
      <c r="A40" s="164"/>
    </row>
    <row r="41" spans="1:8" ht="15.6" x14ac:dyDescent="0.3">
      <c r="A41" s="219" t="str">
        <f>IF($E$2="f","Besoins de base","Grundbedarf")</f>
        <v>Grundbedarf</v>
      </c>
    </row>
    <row r="43" spans="1:8" hidden="1" x14ac:dyDescent="0.25">
      <c r="A43" t="str">
        <f>Hauptblatt!A45</f>
        <v>Grundbetrag</v>
      </c>
      <c r="B43" s="116">
        <f>Hauptblatt!B45</f>
        <v>1200</v>
      </c>
      <c r="C43" s="116">
        <f>Hauptblatt!C45</f>
        <v>1350</v>
      </c>
      <c r="D43" s="115" t="str">
        <f>Hauptblatt!D45</f>
        <v>---</v>
      </c>
      <c r="E43" s="115" t="str">
        <f>Hauptblatt!E45</f>
        <v>---</v>
      </c>
      <c r="F43" s="115" t="str">
        <f>Hauptblatt!F45</f>
        <v>---</v>
      </c>
      <c r="G43" s="115" t="str">
        <f>Hauptblatt!G45</f>
        <v>---</v>
      </c>
      <c r="H43" s="227">
        <f>Hauptblatt!H45</f>
        <v>2550</v>
      </c>
    </row>
    <row r="44" spans="1:8" hidden="1" x14ac:dyDescent="0.25">
      <c r="A44" t="str">
        <f>Hauptblatt!A46</f>
        <v>Zuschlag für Kinder</v>
      </c>
      <c r="B44" s="26" t="s">
        <v>6</v>
      </c>
      <c r="C44" s="26" t="s">
        <v>6</v>
      </c>
      <c r="D44" s="116">
        <f>IF(Hauptblatt!D46="","",Hauptblatt!D46)</f>
        <v>600</v>
      </c>
      <c r="E44" s="116">
        <f>IF(Hauptblatt!E46="","",Hauptblatt!E46)</f>
        <v>400</v>
      </c>
      <c r="F44" s="116" t="str">
        <f>IF(Hauptblatt!F46="","",Hauptblatt!F46)</f>
        <v/>
      </c>
      <c r="G44" s="116" t="str">
        <f>IF(Hauptblatt!G46="","",Hauptblatt!G46)</f>
        <v/>
      </c>
      <c r="H44" s="227">
        <f>Hauptblatt!H46</f>
        <v>1000</v>
      </c>
    </row>
    <row r="45" spans="1:8" hidden="1" x14ac:dyDescent="0.25">
      <c r="A45" t="str">
        <f>Hauptblatt!A47</f>
        <v>./. in Drittbetreuungskosten</v>
      </c>
      <c r="B45" s="26" t="s">
        <v>6</v>
      </c>
      <c r="C45" s="26" t="s">
        <v>6</v>
      </c>
      <c r="D45" s="116" t="str">
        <f>IF(Hauptblatt!D47="","",Hauptblatt!D47)</f>
        <v/>
      </c>
      <c r="E45" s="116" t="str">
        <f>IF(Hauptblatt!E47="","",Hauptblatt!E47)</f>
        <v/>
      </c>
      <c r="F45" s="116" t="str">
        <f>IF(Hauptblatt!F47="","",Hauptblatt!F47)</f>
        <v/>
      </c>
      <c r="G45" s="116" t="str">
        <f>IF(Hauptblatt!G47="","",Hauptblatt!G47)</f>
        <v/>
      </c>
      <c r="H45" s="227">
        <f>Hauptblatt!H47</f>
        <v>0</v>
      </c>
    </row>
    <row r="46" spans="1:8" hidden="1" x14ac:dyDescent="0.25">
      <c r="A46" t="str">
        <f>Hauptblatt!A48</f>
        <v>Miete/Hypothekarzins</v>
      </c>
      <c r="B46" s="235">
        <f>Hauptblatt!B48</f>
        <v>1400</v>
      </c>
      <c r="C46" s="235">
        <f>Hauptblatt!C48</f>
        <v>1600</v>
      </c>
      <c r="D46" s="115" t="str">
        <f>Hauptblatt!D48</f>
        <v>---</v>
      </c>
      <c r="E46" s="115" t="str">
        <f>Hauptblatt!E48</f>
        <v>---</v>
      </c>
      <c r="F46" s="115" t="str">
        <f>Hauptblatt!F48</f>
        <v>---</v>
      </c>
      <c r="G46" s="115" t="str">
        <f>Hauptblatt!G48</f>
        <v>---</v>
      </c>
      <c r="H46" s="227">
        <f>Hauptblatt!H48</f>
        <v>3000</v>
      </c>
    </row>
    <row r="47" spans="1:8" hidden="1" x14ac:dyDescent="0.25">
      <c r="A47" t="str">
        <f>Hauptblatt!A49</f>
        <v>Nebenkosten</v>
      </c>
      <c r="B47" s="115">
        <f>IF(Hauptblatt!B49="","",Hauptblatt!B49)</f>
        <v>200</v>
      </c>
      <c r="C47" s="115">
        <f>IF(Hauptblatt!C49="","",Hauptblatt!C49)</f>
        <v>200</v>
      </c>
      <c r="D47" s="115" t="str">
        <f>Hauptblatt!D49</f>
        <v>---</v>
      </c>
      <c r="E47" s="115" t="str">
        <f>Hauptblatt!E49</f>
        <v>---</v>
      </c>
      <c r="F47" s="115" t="str">
        <f>Hauptblatt!F49</f>
        <v>---</v>
      </c>
      <c r="G47" s="115" t="str">
        <f>Hauptblatt!G49</f>
        <v>---</v>
      </c>
      <c r="H47" s="227">
        <f>Hauptblatt!H49</f>
        <v>400</v>
      </c>
    </row>
    <row r="48" spans="1:8" hidden="1" x14ac:dyDescent="0.25">
      <c r="A48" t="str">
        <f>Hauptblatt!A50</f>
        <v>Anteil Kinder</v>
      </c>
      <c r="B48" s="115" t="str">
        <f>IF(Hauptblatt!B50="","",Hauptblatt!B50)</f>
        <v/>
      </c>
      <c r="C48" s="115">
        <f>IF(Hauptblatt!C50="","",Hauptblatt!C50)</f>
        <v>-660</v>
      </c>
      <c r="D48" s="231">
        <f>IF(Hauptblatt!D50="","",Hauptblatt!D50)</f>
        <v>330</v>
      </c>
      <c r="E48" s="231">
        <f>IF(Hauptblatt!E50="","",Hauptblatt!E50)</f>
        <v>330</v>
      </c>
      <c r="F48" s="231" t="str">
        <f>IF(Hauptblatt!F50="","",Hauptblatt!F50)</f>
        <v/>
      </c>
      <c r="G48" s="231" t="str">
        <f>IF(Hauptblatt!G50="","",Hauptblatt!G50)</f>
        <v/>
      </c>
      <c r="H48" s="227">
        <f>Hauptblatt!H50</f>
        <v>0</v>
      </c>
    </row>
    <row r="49" spans="1:9" hidden="1" x14ac:dyDescent="0.25">
      <c r="A49" t="str">
        <f>Hauptblatt!A51</f>
        <v>./. Wohnbeiträge von Dritten</v>
      </c>
      <c r="B49" s="115" t="str">
        <f>IF(Hauptblatt!B51="","",Hauptblatt!B51)</f>
        <v/>
      </c>
      <c r="C49" s="115" t="str">
        <f>IF(Hauptblatt!C51="","",Hauptblatt!C51)</f>
        <v/>
      </c>
      <c r="D49" s="115" t="str">
        <f>IF(Hauptblatt!D51="","",Hauptblatt!D51)</f>
        <v/>
      </c>
      <c r="E49" s="115" t="str">
        <f>IF(Hauptblatt!E51="","",Hauptblatt!E51)</f>
        <v/>
      </c>
      <c r="F49" s="115" t="str">
        <f>IF(Hauptblatt!F51="","",Hauptblatt!F51)</f>
        <v/>
      </c>
      <c r="G49" s="115" t="str">
        <f>IF(Hauptblatt!G51="","",Hauptblatt!G51)</f>
        <v/>
      </c>
      <c r="H49" s="227">
        <f>Hauptblatt!H51</f>
        <v>0</v>
      </c>
    </row>
    <row r="50" spans="1:9" hidden="1" x14ac:dyDescent="0.25">
      <c r="A50" t="str">
        <f>Hauptblatt!A52</f>
        <v>Krankenversicherungsprämien Erwachsene</v>
      </c>
      <c r="B50" s="118">
        <f>IF(Hauptblatt!B52="","",Hauptblatt!B52)</f>
        <v>400</v>
      </c>
      <c r="C50" s="118">
        <f>IF(Hauptblatt!C52="","",Hauptblatt!C52)</f>
        <v>430</v>
      </c>
      <c r="D50" s="115" t="str">
        <f>Hauptblatt!D52</f>
        <v>---</v>
      </c>
      <c r="E50" s="115" t="str">
        <f>Hauptblatt!E52</f>
        <v>---</v>
      </c>
      <c r="F50" s="115" t="str">
        <f>Hauptblatt!F52</f>
        <v>---</v>
      </c>
      <c r="G50" s="115" t="str">
        <f>Hauptblatt!G52</f>
        <v>---</v>
      </c>
      <c r="H50" s="227">
        <f>Hauptblatt!H52</f>
        <v>830</v>
      </c>
    </row>
    <row r="51" spans="1:9" hidden="1" x14ac:dyDescent="0.25">
      <c r="A51" t="str">
        <f>Hauptblatt!A53</f>
        <v>Krankenversicherungsprämien Kinder</v>
      </c>
      <c r="B51" s="115">
        <f>Hauptblatt!B53</f>
        <v>0</v>
      </c>
      <c r="C51" s="115" t="str">
        <f>Hauptblatt!C53</f>
        <v>---</v>
      </c>
      <c r="D51" s="241">
        <f>IF(Hauptblatt!D53="","",Hauptblatt!D53)</f>
        <v>100</v>
      </c>
      <c r="E51" s="241">
        <f>IF(Hauptblatt!E53="","",Hauptblatt!E53)</f>
        <v>100</v>
      </c>
      <c r="F51" s="241" t="str">
        <f>IF(Hauptblatt!F53="","",Hauptblatt!F53)</f>
        <v/>
      </c>
      <c r="G51" s="241" t="str">
        <f>IF(Hauptblatt!G53="","",Hauptblatt!G53)</f>
        <v/>
      </c>
      <c r="H51" s="227">
        <f>Hauptblatt!H53</f>
        <v>200</v>
      </c>
    </row>
    <row r="52" spans="1:9" ht="12.75" hidden="1" customHeight="1" x14ac:dyDescent="0.25">
      <c r="A52" t="str">
        <f>Hauptblatt!A54</f>
        <v>Telekommunikation/Mobiliarversicherung</v>
      </c>
      <c r="B52" s="115">
        <f>IF(Hauptblatt!B54="","",Hauptblatt!B54)</f>
        <v>100</v>
      </c>
      <c r="C52" s="115">
        <f>IF(Hauptblatt!C54="","",Hauptblatt!C54)</f>
        <v>100</v>
      </c>
      <c r="D52" s="115" t="str">
        <f>IF(Hauptblatt!D54="","",Hauptblatt!D54)</f>
        <v/>
      </c>
      <c r="E52" s="115" t="str">
        <f>IF(Hauptblatt!E54="","",Hauptblatt!E54)</f>
        <v/>
      </c>
      <c r="F52" s="115" t="str">
        <f>IF(Hauptblatt!F54="","",Hauptblatt!F54)</f>
        <v/>
      </c>
      <c r="G52" s="115" t="str">
        <f>IF(Hauptblatt!G54="","",Hauptblatt!G54)</f>
        <v/>
      </c>
      <c r="H52" s="227">
        <f>Hauptblatt!H54</f>
        <v>200</v>
      </c>
    </row>
    <row r="53" spans="1:9" hidden="1" x14ac:dyDescent="0.25">
      <c r="A53" t="str">
        <f>Hauptblatt!A55</f>
        <v>Arbeitsweg</v>
      </c>
      <c r="B53" s="115">
        <f>IF(Hauptblatt!B55="","",Hauptblatt!B55)</f>
        <v>120</v>
      </c>
      <c r="C53" s="115">
        <f>IF(Hauptblatt!C55="","",Hauptblatt!C55)</f>
        <v>50</v>
      </c>
      <c r="D53" s="115" t="str">
        <f>IF(Hauptblatt!D55="","",Hauptblatt!D55)</f>
        <v/>
      </c>
      <c r="E53" s="115" t="str">
        <f>IF(Hauptblatt!E55="","",Hauptblatt!E55)</f>
        <v/>
      </c>
      <c r="F53" s="115" t="str">
        <f>IF(Hauptblatt!F55="","",Hauptblatt!F55)</f>
        <v/>
      </c>
      <c r="G53" s="115" t="str">
        <f>IF(Hauptblatt!G55="","",Hauptblatt!G55)</f>
        <v/>
      </c>
      <c r="H53" s="227">
        <f>Hauptblatt!H55</f>
        <v>170</v>
      </c>
    </row>
    <row r="54" spans="1:9" hidden="1" x14ac:dyDescent="0.25">
      <c r="A54" t="str">
        <f>Hauptblatt!A56</f>
        <v>Zuschlag für auswärtiges Essen</v>
      </c>
      <c r="B54" s="115">
        <f>IF(Hauptblatt!B56="","",Hauptblatt!B56)</f>
        <v>220</v>
      </c>
      <c r="C54" s="115">
        <f>IF(Hauptblatt!C56="","",Hauptblatt!C56)</f>
        <v>45</v>
      </c>
      <c r="D54" s="115" t="str">
        <f>IF(Hauptblatt!D56="","",Hauptblatt!D56)</f>
        <v/>
      </c>
      <c r="E54" s="115" t="str">
        <f>IF(Hauptblatt!E56="","",Hauptblatt!E56)</f>
        <v/>
      </c>
      <c r="F54" s="115" t="str">
        <f>IF(Hauptblatt!F56="","",Hauptblatt!F56)</f>
        <v/>
      </c>
      <c r="G54" s="115" t="str">
        <f>IF(Hauptblatt!G56="","",Hauptblatt!G56)</f>
        <v/>
      </c>
      <c r="H54" s="227">
        <f>Hauptblatt!H56</f>
        <v>265</v>
      </c>
    </row>
    <row r="55" spans="1:9" hidden="1" x14ac:dyDescent="0.25">
      <c r="A55" t="str">
        <f>Hauptblatt!A57</f>
        <v>Berufszuschlag</v>
      </c>
      <c r="B55" s="115" t="str">
        <f>IF(Hauptblatt!B57="","",Hauptblatt!B57)</f>
        <v/>
      </c>
      <c r="C55" s="115" t="str">
        <f>IF(Hauptblatt!C57="","",Hauptblatt!C57)</f>
        <v/>
      </c>
      <c r="D55" s="115" t="str">
        <f>IF(Hauptblatt!D57="","",Hauptblatt!D57)</f>
        <v/>
      </c>
      <c r="E55" s="115" t="str">
        <f>IF(Hauptblatt!E57="","",Hauptblatt!E57)</f>
        <v/>
      </c>
      <c r="F55" s="115" t="str">
        <f>IF(Hauptblatt!F57="","",Hauptblatt!F57)</f>
        <v/>
      </c>
      <c r="G55" s="115" t="str">
        <f>IF(Hauptblatt!G57="","",Hauptblatt!G57)</f>
        <v/>
      </c>
      <c r="H55" s="227">
        <f>Hauptblatt!H57</f>
        <v>0</v>
      </c>
    </row>
    <row r="56" spans="1:9" hidden="1" x14ac:dyDescent="0.25">
      <c r="A56" t="str">
        <f>Hauptblatt!A58</f>
        <v>Laufende Steuern</v>
      </c>
      <c r="B56" s="116">
        <f ca="1">IF(SteuernVp1="","",SteuernVp1)</f>
        <v>0</v>
      </c>
      <c r="C56" s="116">
        <f ca="1">IF(SteuernHb1="","",SteuernHb1)</f>
        <v>0</v>
      </c>
      <c r="D56" s="231">
        <f>IF(Hauptblatt!D58="","",Hauptblatt!D58)</f>
        <v>160.45230137108183</v>
      </c>
      <c r="E56" s="231">
        <f>IF(Hauptblatt!E58="","",Hauptblatt!E58)</f>
        <v>138.45800153680202</v>
      </c>
      <c r="F56" s="231" t="str">
        <f>IF(Hauptblatt!F58="","",Hauptblatt!F58)</f>
        <v/>
      </c>
      <c r="G56" s="231" t="str">
        <f>IF(Hauptblatt!G58="","",Hauptblatt!G58)</f>
        <v/>
      </c>
      <c r="H56" s="227">
        <f>Hauptblatt!H58</f>
        <v>1434.849556047807</v>
      </c>
    </row>
    <row r="57" spans="1:9" hidden="1" x14ac:dyDescent="0.25">
      <c r="A57" t="str">
        <f>Hauptblatt!A59</f>
        <v>Schuldentilgung</v>
      </c>
      <c r="B57" s="115" t="str">
        <f>IF(Hauptblatt!B59="","",Hauptblatt!B59)</f>
        <v/>
      </c>
      <c r="C57" s="115" t="str">
        <f>IF(Hauptblatt!C59="","",Hauptblatt!C59)</f>
        <v/>
      </c>
      <c r="D57" s="115" t="str">
        <f>IF(Hauptblatt!D59="","",Hauptblatt!D59)</f>
        <v>---</v>
      </c>
      <c r="E57" s="115" t="str">
        <f>IF(Hauptblatt!E59="","",Hauptblatt!E59)</f>
        <v>---</v>
      </c>
      <c r="F57" s="115" t="str">
        <f>IF(Hauptblatt!F59="","",Hauptblatt!F59)</f>
        <v>---</v>
      </c>
      <c r="G57" s="115" t="str">
        <f>IF(Hauptblatt!G59="","",Hauptblatt!G59)</f>
        <v>---</v>
      </c>
      <c r="H57" s="227">
        <f>Hauptblatt!H59</f>
        <v>0</v>
      </c>
    </row>
    <row r="58" spans="1:9" hidden="1" x14ac:dyDescent="0.25">
      <c r="A58" t="str">
        <f>Hauptblatt!A60</f>
        <v>Drittbetreuung Kinder</v>
      </c>
      <c r="B58" s="115" t="str">
        <f>IF(Hauptblatt!B60="","",Hauptblatt!B60)</f>
        <v/>
      </c>
      <c r="C58" s="115" t="str">
        <f>IF(Hauptblatt!C60="","",Hauptblatt!C60)</f>
        <v>---</v>
      </c>
      <c r="D58" s="115">
        <f>IF(Hauptblatt!D60="","",Hauptblatt!D60)</f>
        <v>100</v>
      </c>
      <c r="E58" s="115">
        <f>IF(Hauptblatt!E60="","",Hauptblatt!E60)</f>
        <v>100</v>
      </c>
      <c r="F58" s="115" t="str">
        <f>IF(Hauptblatt!F60="","",Hauptblatt!F60)</f>
        <v/>
      </c>
      <c r="G58" s="115" t="str">
        <f>IF(Hauptblatt!G60="","",Hauptblatt!G60)</f>
        <v/>
      </c>
      <c r="H58" s="227">
        <f>Hauptblatt!H60</f>
        <v>200</v>
      </c>
    </row>
    <row r="59" spans="1:9" ht="25.5" hidden="1" customHeight="1" x14ac:dyDescent="0.25">
      <c r="A59" s="281" t="str">
        <f>Hauptblatt!A61</f>
        <v>Weitere besondere Auslagen für Kinder hauptbetreuender Elternteil</v>
      </c>
      <c r="B59" s="115" t="str">
        <f>IF(Hauptblatt!B61="","",Hauptblatt!B61)</f>
        <v>---</v>
      </c>
      <c r="C59" s="115" t="str">
        <f>IF(Hauptblatt!C61="","",Hauptblatt!C61)</f>
        <v>---</v>
      </c>
      <c r="D59" s="115">
        <f>IF(Hauptblatt!D61="","",Hauptblatt!D61)</f>
        <v>100</v>
      </c>
      <c r="E59" s="115">
        <f>IF(Hauptblatt!E61="","",Hauptblatt!E61)</f>
        <v>80</v>
      </c>
      <c r="F59" s="115" t="str">
        <f>IF(Hauptblatt!F61="","",Hauptblatt!F61)</f>
        <v/>
      </c>
      <c r="G59" s="115" t="str">
        <f>IF(Hauptblatt!G61="","",Hauptblatt!G61)</f>
        <v/>
      </c>
      <c r="H59" s="227">
        <f>Hauptblatt!H61</f>
        <v>180</v>
      </c>
      <c r="I59" s="85"/>
    </row>
    <row r="60" spans="1:9" ht="25.5" hidden="1" customHeight="1" x14ac:dyDescent="0.25">
      <c r="A60" s="281" t="str">
        <f>Hauptblatt!A62</f>
        <v>Weitere besondere Auslagen für Kinder nicht hauptbetreuender Elternteil</v>
      </c>
      <c r="B60" s="115" t="str">
        <f>IF(Hauptblatt!B62="","",Hauptblatt!B62)</f>
        <v/>
      </c>
      <c r="C60" s="115" t="str">
        <f>IF(Hauptblatt!C62="","",Hauptblatt!C62)</f>
        <v>---</v>
      </c>
      <c r="D60" s="115" t="str">
        <f>IF(Hauptblatt!D62="","",Hauptblatt!D62)</f>
        <v>---</v>
      </c>
      <c r="E60" s="115" t="str">
        <f>IF(Hauptblatt!E62="","",Hauptblatt!E62)</f>
        <v>---</v>
      </c>
      <c r="F60" s="115" t="str">
        <f>IF(Hauptblatt!F62="","",Hauptblatt!F62)</f>
        <v>---</v>
      </c>
      <c r="G60" s="115" t="str">
        <f>IF(Hauptblatt!G62="","",Hauptblatt!G62)</f>
        <v>---</v>
      </c>
      <c r="H60" s="227">
        <f>Hauptblatt!H62</f>
        <v>0</v>
      </c>
      <c r="I60" s="85"/>
    </row>
    <row r="61" spans="1:9" hidden="1" x14ac:dyDescent="0.25">
      <c r="A61" t="str">
        <f>Hauptblatt!A63</f>
        <v>Beiträge an Berufsverbände</v>
      </c>
      <c r="B61" s="115" t="str">
        <f>IF(Hauptblatt!B63="","",Hauptblatt!B63)</f>
        <v/>
      </c>
      <c r="C61" s="115" t="str">
        <f>IF(Hauptblatt!C63="","",Hauptblatt!C63)</f>
        <v/>
      </c>
      <c r="D61" s="115" t="str">
        <f>IF(Hauptblatt!D63="","",Hauptblatt!D63)</f>
        <v>---</v>
      </c>
      <c r="E61" s="115" t="str">
        <f>IF(Hauptblatt!E63="","",Hauptblatt!E63)</f>
        <v>---</v>
      </c>
      <c r="F61" s="115" t="str">
        <f>IF(Hauptblatt!F63="","",Hauptblatt!F63)</f>
        <v>---</v>
      </c>
      <c r="G61" s="115" t="str">
        <f>IF(Hauptblatt!G63="","",Hauptblatt!G63)</f>
        <v>---</v>
      </c>
      <c r="H61" s="227">
        <f>Hauptblatt!H63</f>
        <v>0</v>
      </c>
    </row>
    <row r="62" spans="1:9" hidden="1" x14ac:dyDescent="0.25">
      <c r="A62" t="str">
        <f>Hauptblatt!A64</f>
        <v>Weiterbildung</v>
      </c>
      <c r="B62" s="115" t="str">
        <f>IF(Hauptblatt!B64="","",Hauptblatt!B64)</f>
        <v/>
      </c>
      <c r="C62" s="115" t="str">
        <f>IF(Hauptblatt!C64="","",Hauptblatt!C64)</f>
        <v/>
      </c>
      <c r="D62" s="115" t="str">
        <f>IF(Hauptblatt!D64="","",Hauptblatt!D64)</f>
        <v>---</v>
      </c>
      <c r="E62" s="115" t="str">
        <f>IF(Hauptblatt!E64="","",Hauptblatt!E64)</f>
        <v>---</v>
      </c>
      <c r="F62" s="115" t="str">
        <f>IF(Hauptblatt!F64="","",Hauptblatt!F64)</f>
        <v>---</v>
      </c>
      <c r="G62" s="115" t="str">
        <f>IF(Hauptblatt!G64="","",Hauptblatt!G64)</f>
        <v>---</v>
      </c>
      <c r="H62" s="227">
        <f>Hauptblatt!H64</f>
        <v>0</v>
      </c>
    </row>
    <row r="63" spans="1:9" hidden="1" x14ac:dyDescent="0.25">
      <c r="A63" t="str">
        <f>Hauptblatt!A65</f>
        <v>Besondere Krankheitskosten</v>
      </c>
      <c r="B63" s="115" t="str">
        <f>IF(Hauptblatt!B65="","",Hauptblatt!B65)</f>
        <v/>
      </c>
      <c r="C63" s="115" t="str">
        <f>IF(Hauptblatt!C65="","",Hauptblatt!C65)</f>
        <v/>
      </c>
      <c r="D63" s="115" t="str">
        <f>IF(Hauptblatt!D65="","",Hauptblatt!D65)</f>
        <v/>
      </c>
      <c r="E63" s="115" t="str">
        <f>IF(Hauptblatt!E65="","",Hauptblatt!E65)</f>
        <v/>
      </c>
      <c r="F63" s="115" t="str">
        <f>IF(Hauptblatt!F65="","",Hauptblatt!F65)</f>
        <v/>
      </c>
      <c r="G63" s="115" t="str">
        <f>IF(Hauptblatt!G65="","",Hauptblatt!G65)</f>
        <v/>
      </c>
      <c r="H63" s="227">
        <f>Hauptblatt!H65</f>
        <v>0</v>
      </c>
    </row>
    <row r="64" spans="1:9" hidden="1" x14ac:dyDescent="0.25">
      <c r="A64" t="str">
        <f>Hauptblatt!A66</f>
        <v>Private Vorsorge/Lebensversicherungen</v>
      </c>
      <c r="B64" s="115" t="str">
        <f>IF(Hauptblatt!B66="","",Hauptblatt!B66)</f>
        <v/>
      </c>
      <c r="C64" s="248">
        <f>IF(Hauptblatt!C66="","",Hauptblatt!C66)</f>
        <v>601.54011441549267</v>
      </c>
      <c r="D64" s="115" t="str">
        <f>IF(Hauptblatt!D66="","",Hauptblatt!D66)</f>
        <v>---</v>
      </c>
      <c r="E64" s="115" t="str">
        <f>IF(Hauptblatt!E66="","",Hauptblatt!E66)</f>
        <v>---</v>
      </c>
      <c r="F64" s="115" t="str">
        <f>IF(Hauptblatt!F66="","",Hauptblatt!F66)</f>
        <v>---</v>
      </c>
      <c r="G64" s="115" t="str">
        <f>IF(Hauptblatt!G66="","",Hauptblatt!G66)</f>
        <v>---</v>
      </c>
      <c r="H64" s="227">
        <f>Hauptblatt!H66</f>
        <v>601.54011441549267</v>
      </c>
    </row>
    <row r="65" spans="1:8" hidden="1" x14ac:dyDescent="0.25">
      <c r="A65" t="str">
        <f>Hauptblatt!A67</f>
        <v>Unterhaltsbeiträge an Dritte</v>
      </c>
      <c r="B65" s="115" t="str">
        <f>IF(Hauptblatt!B67="","",Hauptblatt!B67)</f>
        <v/>
      </c>
      <c r="C65" s="115" t="str">
        <f>IF(Hauptblatt!C67="","",Hauptblatt!C67)</f>
        <v/>
      </c>
      <c r="D65" s="115" t="str">
        <f>IF(Hauptblatt!D67="","",Hauptblatt!D67)</f>
        <v>---</v>
      </c>
      <c r="E65" s="115" t="str">
        <f>IF(Hauptblatt!E67="","",Hauptblatt!E67)</f>
        <v>---</v>
      </c>
      <c r="F65" s="115" t="str">
        <f>IF(Hauptblatt!F67="","",Hauptblatt!F67)</f>
        <v>---</v>
      </c>
      <c r="G65" s="115" t="str">
        <f>IF(Hauptblatt!G67="","",Hauptblatt!G67)</f>
        <v>---</v>
      </c>
      <c r="H65" s="227">
        <f>Hauptblatt!H67</f>
        <v>0</v>
      </c>
    </row>
    <row r="66" spans="1:8" hidden="1" x14ac:dyDescent="0.25">
      <c r="A66" t="str">
        <f>Hauptblatt!A68</f>
        <v>Weitergeleitete Familienzulagen</v>
      </c>
      <c r="B66" s="115" t="str">
        <f>IF(Hauptblatt!B68="","",Hauptblatt!B68)</f>
        <v/>
      </c>
      <c r="C66" s="115" t="str">
        <f>IF(Hauptblatt!C68="","",Hauptblatt!C68)</f>
        <v/>
      </c>
      <c r="D66" s="115" t="str">
        <f>IF(Hauptblatt!D68="","",Hauptblatt!D68)</f>
        <v>---</v>
      </c>
      <c r="E66" s="115" t="str">
        <f>IF(Hauptblatt!E68="","",Hauptblatt!E68)</f>
        <v>---</v>
      </c>
      <c r="F66" s="115" t="str">
        <f>IF(Hauptblatt!F68="","",Hauptblatt!F68)</f>
        <v>---</v>
      </c>
      <c r="G66" s="115" t="str">
        <f>IF(Hauptblatt!G68="","",Hauptblatt!G68)</f>
        <v>---</v>
      </c>
      <c r="H66" s="227">
        <f>Hauptblatt!H68</f>
        <v>0</v>
      </c>
    </row>
    <row r="67" spans="1:8" hidden="1" x14ac:dyDescent="0.25">
      <c r="A67" s="224" t="str">
        <f>IF(Hauptblatt!A70="","",Hauptblatt!A68)</f>
        <v/>
      </c>
      <c r="B67" s="115" t="str">
        <f>IF(Hauptblatt!B70="","",Hauptblatt!B70)</f>
        <v/>
      </c>
      <c r="C67" s="115" t="str">
        <f>IF(Hauptblatt!C70="","",Hauptblatt!C70)</f>
        <v/>
      </c>
      <c r="D67" s="115" t="str">
        <f>IF(Hauptblatt!D70="","",Hauptblatt!D70)</f>
        <v/>
      </c>
      <c r="E67" s="115" t="str">
        <f>IF(Hauptblatt!E70="","",Hauptblatt!E70)</f>
        <v/>
      </c>
      <c r="F67" s="115" t="str">
        <f>IF(Hauptblatt!F70="","",Hauptblatt!F70)</f>
        <v/>
      </c>
      <c r="G67" s="115" t="str">
        <f>IF(Hauptblatt!G70="","",Hauptblatt!G70)</f>
        <v/>
      </c>
      <c r="H67" s="227" t="str">
        <f>IF(Hauptblatt!H70="","",Hauptblatt!H70)</f>
        <v/>
      </c>
    </row>
    <row r="68" spans="1:8" hidden="1" x14ac:dyDescent="0.25">
      <c r="A68" s="223"/>
      <c r="B68" s="115" t="str">
        <f>IF(Hauptblatt!B71="","",Hauptblatt!B71)</f>
        <v/>
      </c>
      <c r="C68" s="115" t="str">
        <f>IF(Hauptblatt!C71="","",Hauptblatt!C71)</f>
        <v/>
      </c>
      <c r="D68" s="115" t="str">
        <f>IF(Hauptblatt!D71="","",Hauptblatt!D71)</f>
        <v/>
      </c>
      <c r="E68" s="115" t="str">
        <f>IF(Hauptblatt!E71="","",Hauptblatt!E71)</f>
        <v/>
      </c>
      <c r="F68" s="115" t="str">
        <f>IF(Hauptblatt!F71="","",Hauptblatt!F71)</f>
        <v/>
      </c>
      <c r="G68" s="115" t="str">
        <f>IF(Hauptblatt!G71="","",Hauptblatt!G71)</f>
        <v/>
      </c>
      <c r="H68" s="227" t="str">
        <f>IF(Hauptblatt!H71="","",Hauptblatt!H71)</f>
        <v/>
      </c>
    </row>
    <row r="69" spans="1:8" s="59" customFormat="1" x14ac:dyDescent="0.25">
      <c r="A69" s="226" t="str">
        <f>Hauptblatt!A72</f>
        <v>Total</v>
      </c>
      <c r="B69" s="227">
        <f>Hauptblatt!B72</f>
        <v>4329.9842708333335</v>
      </c>
      <c r="C69" s="227">
        <f>Hauptblatt!C72</f>
        <v>4162.495096722083</v>
      </c>
      <c r="D69" s="227">
        <f>Hauptblatt!D72</f>
        <v>1390.4523013710818</v>
      </c>
      <c r="E69" s="227">
        <f>Hauptblatt!E72</f>
        <v>1148.4580015368019</v>
      </c>
      <c r="F69" s="227">
        <f>Hauptblatt!F72</f>
        <v>0</v>
      </c>
      <c r="G69" s="227">
        <f>Hauptblatt!G72</f>
        <v>0</v>
      </c>
      <c r="H69" s="227">
        <f>Hauptblatt!H72</f>
        <v>11031.389670463301</v>
      </c>
    </row>
    <row r="71" spans="1:8" ht="15.6" x14ac:dyDescent="0.3">
      <c r="A71" s="219" t="str">
        <f>IF($E$2="f","Différence","Differenz")</f>
        <v>Differenz</v>
      </c>
    </row>
    <row r="73" spans="1:8" x14ac:dyDescent="0.25">
      <c r="A73" s="164" t="str">
        <f>Hauptblatt!A76</f>
        <v>Verfügbare Mittel</v>
      </c>
      <c r="B73" s="116">
        <f>Hauptblatt!B76</f>
        <v>10833.333333333334</v>
      </c>
      <c r="C73" s="116">
        <f>Hauptblatt!C76</f>
        <v>1950</v>
      </c>
      <c r="D73" s="116">
        <f>Hauptblatt!D76</f>
        <v>250</v>
      </c>
      <c r="E73" s="116">
        <f>Hauptblatt!E76</f>
        <v>250</v>
      </c>
      <c r="F73" s="116">
        <f>Hauptblatt!F76</f>
        <v>0</v>
      </c>
      <c r="G73" s="116">
        <f>Hauptblatt!G76</f>
        <v>0</v>
      </c>
      <c r="H73" s="227">
        <f>Hauptblatt!H76</f>
        <v>13283.333333333334</v>
      </c>
    </row>
    <row r="74" spans="1:8" ht="12.75" customHeight="1" x14ac:dyDescent="0.25">
      <c r="A74" s="286" t="str">
        <f>IF($E$2="f","./. Besoins de base","./. Grundbedarf")</f>
        <v>./. Grundbedarf</v>
      </c>
      <c r="B74" s="116">
        <f>Hauptblatt!B77+Hauptblatt!B78</f>
        <v>-4329.9842708333335</v>
      </c>
      <c r="C74" s="116">
        <f>Hauptblatt!C77+Hauptblatt!C78</f>
        <v>-4162.495096722083</v>
      </c>
      <c r="D74" s="116">
        <f>Hauptblatt!D77</f>
        <v>-1390.4523013710818</v>
      </c>
      <c r="E74" s="116">
        <f>Hauptblatt!E77</f>
        <v>-1148.4580015368019</v>
      </c>
      <c r="F74" s="116">
        <f>Hauptblatt!F77</f>
        <v>0</v>
      </c>
      <c r="G74" s="116">
        <f>Hauptblatt!G77</f>
        <v>0</v>
      </c>
      <c r="H74" s="227">
        <f>Hauptblatt!H77</f>
        <v>-10429.849556047808</v>
      </c>
    </row>
    <row r="75" spans="1:8" hidden="1" x14ac:dyDescent="0.25">
      <c r="A75" s="164" t="str">
        <f>Hauptblatt!A78</f>
        <v>./. Vorsorgeunterhalt, Unterhaltsbeiträge an Dritte</v>
      </c>
      <c r="H75" s="227">
        <f>Hauptblatt!H78</f>
        <v>-601.54011441549267</v>
      </c>
    </row>
    <row r="77" spans="1:8" s="59" customFormat="1" ht="12.75" customHeight="1" x14ac:dyDescent="0.25">
      <c r="A77" s="256" t="str">
        <f>Hauptblatt!A80</f>
        <v>Überschuss/Manko</v>
      </c>
      <c r="B77" s="227">
        <f>Hauptblatt!B80</f>
        <v>6503.3490625000004</v>
      </c>
      <c r="C77" s="227">
        <f>Hauptblatt!C80</f>
        <v>-2212.495096722083</v>
      </c>
      <c r="D77" s="227">
        <f>Hauptblatt!D80</f>
        <v>-1140.4523013710818</v>
      </c>
      <c r="E77" s="227">
        <f>Hauptblatt!E80</f>
        <v>-898.45800153680193</v>
      </c>
      <c r="F77" s="227">
        <f>Hauptblatt!F80</f>
        <v>0</v>
      </c>
      <c r="G77" s="227">
        <f>Hauptblatt!G80</f>
        <v>0</v>
      </c>
      <c r="H77" s="229">
        <f>Hauptblatt!H80</f>
        <v>2251.9436628700337</v>
      </c>
    </row>
    <row r="78" spans="1:8" s="59" customFormat="1" x14ac:dyDescent="0.25">
      <c r="A78" s="226"/>
      <c r="B78" s="227"/>
      <c r="C78" s="227"/>
      <c r="D78" s="227"/>
      <c r="E78" s="227"/>
      <c r="F78" s="227"/>
      <c r="G78" s="227"/>
      <c r="H78" s="227"/>
    </row>
    <row r="79" spans="1:8" s="85" customFormat="1" x14ac:dyDescent="0.25">
      <c r="A79" s="164" t="str">
        <f>Hauptblatt!A82</f>
        <v>./. Anteil Sparquote</v>
      </c>
      <c r="B79" s="194">
        <f>Hauptblatt!B82</f>
        <v>0</v>
      </c>
      <c r="C79" s="194">
        <f>Hauptblatt!C82</f>
        <v>0</v>
      </c>
      <c r="D79" s="194"/>
      <c r="E79" s="194"/>
      <c r="F79" s="194"/>
      <c r="G79" s="194"/>
      <c r="H79" s="194"/>
    </row>
    <row r="80" spans="1:8" x14ac:dyDescent="0.25">
      <c r="A80" s="164" t="str">
        <f>Hauptblatt!A84</f>
        <v>./. Vorabzuteilung</v>
      </c>
      <c r="B80" s="260">
        <f>Hauptblatt!B84</f>
        <v>0</v>
      </c>
      <c r="C80" s="260">
        <f>Hauptblatt!C84</f>
        <v>0</v>
      </c>
      <c r="D80" s="260">
        <f>Hauptblatt!D84</f>
        <v>0</v>
      </c>
      <c r="E80" s="260">
        <f>Hauptblatt!E84</f>
        <v>0</v>
      </c>
      <c r="F80" s="260">
        <f>Hauptblatt!F84</f>
        <v>0</v>
      </c>
      <c r="G80" s="260">
        <f>Hauptblatt!G84</f>
        <v>0</v>
      </c>
      <c r="H80" s="227">
        <f>Hauptblatt!H84</f>
        <v>0</v>
      </c>
    </row>
    <row r="81" spans="1:8" x14ac:dyDescent="0.25">
      <c r="A81" s="164"/>
      <c r="B81" s="227"/>
      <c r="C81" s="227"/>
      <c r="D81" s="227"/>
      <c r="E81" s="227"/>
      <c r="F81" s="227"/>
      <c r="G81" s="227"/>
    </row>
    <row r="82" spans="1:8" x14ac:dyDescent="0.25">
      <c r="A82" s="226" t="str">
        <f>IF($E$2="f","Montant disponible à répartir","Aufzuteilender Betrag")</f>
        <v>Aufzuteilender Betrag</v>
      </c>
      <c r="B82" s="227">
        <f>Hauptblatt!B86</f>
        <v>6503.3490625000004</v>
      </c>
      <c r="C82" s="227">
        <f>Hauptblatt!C86</f>
        <v>-2212.495096722083</v>
      </c>
      <c r="D82" s="227">
        <f>Hauptblatt!D86</f>
        <v>-1140.4523013710818</v>
      </c>
      <c r="E82" s="227">
        <f>Hauptblatt!E86</f>
        <v>-898.45800153680193</v>
      </c>
      <c r="F82" s="227">
        <f>Hauptblatt!F86</f>
        <v>0</v>
      </c>
      <c r="G82" s="227">
        <f>Hauptblatt!G86</f>
        <v>0</v>
      </c>
      <c r="H82" s="227">
        <f>Hauptblatt!H86</f>
        <v>2251.9436628700337</v>
      </c>
    </row>
    <row r="83" spans="1:8" hidden="1" x14ac:dyDescent="0.25">
      <c r="A83" s="164"/>
      <c r="B83" s="227"/>
      <c r="C83" s="227"/>
      <c r="D83" s="227"/>
      <c r="E83" s="227"/>
      <c r="F83" s="227"/>
      <c r="G83" s="227"/>
    </row>
    <row r="84" spans="1:8" s="59" customFormat="1" hidden="1" x14ac:dyDescent="0.25">
      <c r="A84" s="164" t="str">
        <f>IF($E$2="f","Facteur de distribution pour l‘excédent/Déficit","Verteiler für Überschuss/Manko")</f>
        <v>Verteiler für Überschuss/Manko</v>
      </c>
      <c r="B84">
        <f>IF(H77&lt;0,0,1)</f>
        <v>1</v>
      </c>
      <c r="C84" s="257">
        <f>IF(H77&lt;0,1,IF(E7="n",0,1))</f>
        <v>1</v>
      </c>
      <c r="D84">
        <f>IF($H77&lt;0,0,IF(D12="",0,0.5))</f>
        <v>0.5</v>
      </c>
      <c r="E84">
        <f>IF($H77&lt;0,0,IF(E12="",0,0.5))</f>
        <v>0.5</v>
      </c>
      <c r="F84">
        <f>IF($H77&lt;0,0,IF(F12="",0,0.5))</f>
        <v>0</v>
      </c>
      <c r="G84">
        <f>IF($H77&lt;0,0,IF(G12="",0,0.5))</f>
        <v>0</v>
      </c>
      <c r="H84" s="59">
        <f>SUM(B84:G84)</f>
        <v>3</v>
      </c>
    </row>
    <row r="85" spans="1:8" s="59" customFormat="1" hidden="1" x14ac:dyDescent="0.25">
      <c r="A85" s="164" t="str">
        <f>IF($E$2="f","en pourcentage","in Prozent")</f>
        <v>in Prozent</v>
      </c>
      <c r="B85" s="270">
        <f t="shared" ref="B85:H85" si="0">B84/$H84</f>
        <v>0.33333333333333331</v>
      </c>
      <c r="C85" s="270">
        <f t="shared" si="0"/>
        <v>0.33333333333333331</v>
      </c>
      <c r="D85" s="270">
        <f t="shared" si="0"/>
        <v>0.16666666666666666</v>
      </c>
      <c r="E85" s="270">
        <f t="shared" si="0"/>
        <v>0.16666666666666666</v>
      </c>
      <c r="F85" s="270">
        <f t="shared" si="0"/>
        <v>0</v>
      </c>
      <c r="G85" s="270">
        <f t="shared" si="0"/>
        <v>0</v>
      </c>
      <c r="H85" s="269">
        <f t="shared" si="0"/>
        <v>1</v>
      </c>
    </row>
    <row r="86" spans="1:8" s="59" customFormat="1" x14ac:dyDescent="0.25">
      <c r="A86" s="226"/>
      <c r="B86" s="227"/>
      <c r="C86" s="227"/>
      <c r="D86" s="227"/>
      <c r="E86" s="227"/>
      <c r="F86" s="227"/>
      <c r="G86" s="227"/>
      <c r="H86" s="227"/>
    </row>
    <row r="87" spans="1:8" s="59" customFormat="1" x14ac:dyDescent="0.25">
      <c r="A87" s="226" t="str">
        <f>IF($E$2="f","Part à l’excédent","Überschussanteil")</f>
        <v>Überschussanteil</v>
      </c>
      <c r="B87" s="227">
        <f>Hauptblatt!B91</f>
        <v>750.64788762334456</v>
      </c>
      <c r="C87" s="227">
        <f>Hauptblatt!C91</f>
        <v>750.64788762334456</v>
      </c>
      <c r="D87" s="227">
        <f>Hauptblatt!D91</f>
        <v>375.32394381167228</v>
      </c>
      <c r="E87" s="227">
        <f>Hauptblatt!E91</f>
        <v>375.32394381167228</v>
      </c>
      <c r="F87" s="227">
        <f>Hauptblatt!F91</f>
        <v>0</v>
      </c>
      <c r="G87" s="227">
        <f>Hauptblatt!G91</f>
        <v>0</v>
      </c>
      <c r="H87" s="227">
        <f>Hauptblatt!H91</f>
        <v>2251.9436628700337</v>
      </c>
    </row>
    <row r="88" spans="1:8" s="59" customFormat="1" x14ac:dyDescent="0.25">
      <c r="A88" s="226"/>
      <c r="B88" s="227"/>
      <c r="C88" s="227"/>
      <c r="D88" s="227"/>
      <c r="E88" s="227"/>
      <c r="F88" s="227"/>
      <c r="G88" s="227"/>
      <c r="H88" s="227"/>
    </row>
    <row r="89" spans="1:8" s="59" customFormat="1" ht="15.6" hidden="1" x14ac:dyDescent="0.3">
      <c r="A89" s="219" t="str">
        <f>IF($E$2="f","4. Contribution d’entretien économiquement","4. Unterhaltsbeitrag wirtschaftlich")</f>
        <v>4. Unterhaltsbeitrag wirtschaftlich</v>
      </c>
      <c r="B89" s="227"/>
      <c r="C89" s="227"/>
      <c r="D89" s="227"/>
      <c r="E89" s="227"/>
      <c r="F89" s="227"/>
      <c r="G89" s="227"/>
      <c r="H89" s="227"/>
    </row>
    <row r="90" spans="1:8" s="59" customFormat="1" hidden="1" x14ac:dyDescent="0.25">
      <c r="A90" s="226"/>
      <c r="B90" s="227"/>
      <c r="C90" s="227"/>
      <c r="D90" s="227"/>
      <c r="E90" s="227"/>
      <c r="F90" s="227"/>
      <c r="G90" s="227"/>
      <c r="H90" s="227"/>
    </row>
    <row r="91" spans="1:8" s="59" customFormat="1" hidden="1" x14ac:dyDescent="0.25">
      <c r="A91" s="164" t="str">
        <f>IF($E$2="f","Besoins de base","Grundbedarf")</f>
        <v>Grundbedarf</v>
      </c>
      <c r="B91" s="116">
        <f t="shared" ref="B91:G91" si="1">B69</f>
        <v>4329.9842708333335</v>
      </c>
      <c r="C91" s="116">
        <f t="shared" si="1"/>
        <v>4162.495096722083</v>
      </c>
      <c r="D91" s="116">
        <f t="shared" si="1"/>
        <v>1390.4523013710818</v>
      </c>
      <c r="E91" s="116">
        <f t="shared" si="1"/>
        <v>1148.4580015368019</v>
      </c>
      <c r="F91" s="116">
        <f t="shared" si="1"/>
        <v>0</v>
      </c>
      <c r="G91" s="116">
        <f t="shared" si="1"/>
        <v>0</v>
      </c>
      <c r="H91" s="227">
        <f>SUM(B91:G91)</f>
        <v>11031.389670463301</v>
      </c>
    </row>
    <row r="92" spans="1:8" s="59" customFormat="1" hidden="1" x14ac:dyDescent="0.25">
      <c r="A92" s="164" t="str">
        <f>IF($E$2="f","Attribution préalable","Vorabzuteilung")</f>
        <v>Vorabzuteilung</v>
      </c>
      <c r="B92" s="116">
        <f>-B80</f>
        <v>0</v>
      </c>
      <c r="C92" s="116">
        <f>-C80</f>
        <v>0</v>
      </c>
      <c r="D92" s="116">
        <f t="shared" ref="D92:G92" si="2">-D80</f>
        <v>0</v>
      </c>
      <c r="E92" s="116">
        <f t="shared" si="2"/>
        <v>0</v>
      </c>
      <c r="F92" s="116">
        <f t="shared" si="2"/>
        <v>0</v>
      </c>
      <c r="G92" s="116">
        <f t="shared" si="2"/>
        <v>0</v>
      </c>
      <c r="H92" s="227">
        <f>SUM(B92:G92)</f>
        <v>0</v>
      </c>
    </row>
    <row r="93" spans="1:8" s="85" customFormat="1" hidden="1" x14ac:dyDescent="0.25">
      <c r="A93" s="164" t="str">
        <f>IF($E$2="f","Part à l’excédent","Überschussanteil")</f>
        <v>Überschussanteil</v>
      </c>
      <c r="B93" s="194">
        <f>B87</f>
        <v>750.64788762334456</v>
      </c>
      <c r="C93" s="194">
        <f t="shared" ref="C93:H93" si="3">C87</f>
        <v>750.64788762334456</v>
      </c>
      <c r="D93" s="194">
        <f t="shared" si="3"/>
        <v>375.32394381167228</v>
      </c>
      <c r="E93" s="194">
        <f t="shared" si="3"/>
        <v>375.32394381167228</v>
      </c>
      <c r="F93" s="194">
        <f t="shared" si="3"/>
        <v>0</v>
      </c>
      <c r="G93" s="194">
        <f t="shared" si="3"/>
        <v>0</v>
      </c>
      <c r="H93" s="227">
        <f t="shared" si="3"/>
        <v>2251.9436628700337</v>
      </c>
    </row>
    <row r="94" spans="1:8" s="59" customFormat="1" hidden="1" x14ac:dyDescent="0.25">
      <c r="A94" s="164"/>
      <c r="B94" s="227"/>
      <c r="C94" s="227"/>
      <c r="D94" s="227"/>
      <c r="E94" s="227"/>
      <c r="F94" s="227"/>
      <c r="G94" s="227"/>
      <c r="H94" s="227"/>
    </row>
    <row r="95" spans="1:8" s="59" customFormat="1" hidden="1" x14ac:dyDescent="0.25">
      <c r="A95" s="226" t="str">
        <f>IF($E$2="f","Total","Total")</f>
        <v>Total</v>
      </c>
      <c r="B95" s="227">
        <f>SUM(B90:B94)</f>
        <v>5080.6321584566776</v>
      </c>
      <c r="C95" s="227">
        <f t="shared" ref="C95:G95" si="4">SUM(C90:C94)</f>
        <v>4913.142984345428</v>
      </c>
      <c r="D95" s="227">
        <f t="shared" si="4"/>
        <v>1765.7762451827541</v>
      </c>
      <c r="E95" s="227">
        <f t="shared" si="4"/>
        <v>1523.7819453484742</v>
      </c>
      <c r="F95" s="227">
        <f t="shared" si="4"/>
        <v>0</v>
      </c>
      <c r="G95" s="227">
        <f t="shared" si="4"/>
        <v>0</v>
      </c>
      <c r="H95" s="227">
        <f>SUM(B95:G95)</f>
        <v>13283.333333333334</v>
      </c>
    </row>
    <row r="96" spans="1:8" s="59" customFormat="1" hidden="1" x14ac:dyDescent="0.25">
      <c r="A96" s="164"/>
      <c r="B96" s="227"/>
      <c r="C96" s="227"/>
      <c r="D96" s="227"/>
      <c r="E96" s="227"/>
      <c r="F96" s="227"/>
      <c r="G96" s="227"/>
      <c r="H96" s="227"/>
    </row>
    <row r="97" spans="1:8" s="59" customFormat="1" hidden="1" x14ac:dyDescent="0.25">
      <c r="A97" s="164" t="str">
        <f>IF($E$2="f","./. Revenus propres","./. eigenes Einkommen")</f>
        <v>./. eigenes Einkommen</v>
      </c>
      <c r="B97" s="116">
        <f t="shared" ref="B97:H97" si="5">-B38</f>
        <v>-10833.333333333334</v>
      </c>
      <c r="C97" s="116">
        <f t="shared" si="5"/>
        <v>-1950</v>
      </c>
      <c r="D97" s="116">
        <f t="shared" si="5"/>
        <v>-250</v>
      </c>
      <c r="E97" s="116">
        <f t="shared" si="5"/>
        <v>-250</v>
      </c>
      <c r="F97" s="116">
        <f t="shared" si="5"/>
        <v>0</v>
      </c>
      <c r="G97" s="116">
        <f t="shared" si="5"/>
        <v>0</v>
      </c>
      <c r="H97" s="227">
        <f t="shared" si="5"/>
        <v>-13283.333333333334</v>
      </c>
    </row>
    <row r="98" spans="1:8" s="59" customFormat="1" hidden="1" x14ac:dyDescent="0.25">
      <c r="A98" s="226"/>
      <c r="B98" s="227"/>
      <c r="C98" s="227"/>
      <c r="D98" s="227"/>
      <c r="E98" s="227"/>
      <c r="F98" s="227"/>
      <c r="G98" s="227"/>
      <c r="H98" s="227"/>
    </row>
    <row r="99" spans="1:8" s="254" customFormat="1" hidden="1" x14ac:dyDescent="0.25">
      <c r="A99" s="232" t="str">
        <f>IF($E$2="f","Créance d’entretien économiquement","Unterhaltsanspruch wirtschaftlich")</f>
        <v>Unterhaltsanspruch wirtschaftlich</v>
      </c>
      <c r="B99" s="229">
        <f>SUM(B95:B98)</f>
        <v>-5752.7011748766563</v>
      </c>
      <c r="C99" s="229">
        <f t="shared" ref="C99:G99" si="6">SUM(C95:C98)</f>
        <v>2963.142984345428</v>
      </c>
      <c r="D99" s="229">
        <f t="shared" si="6"/>
        <v>1515.7762451827541</v>
      </c>
      <c r="E99" s="229">
        <f t="shared" si="6"/>
        <v>1273.7819453484742</v>
      </c>
      <c r="F99" s="229">
        <f t="shared" si="6"/>
        <v>0</v>
      </c>
      <c r="G99" s="229">
        <f t="shared" si="6"/>
        <v>0</v>
      </c>
      <c r="H99" s="229">
        <f>SUM(H95:H98)</f>
        <v>0</v>
      </c>
    </row>
    <row r="100" spans="1:8" s="254" customFormat="1" hidden="1" x14ac:dyDescent="0.25">
      <c r="A100" s="232"/>
      <c r="B100" s="229"/>
      <c r="C100" s="229"/>
      <c r="D100" s="229"/>
      <c r="E100" s="229"/>
      <c r="F100" s="229"/>
      <c r="G100" s="229"/>
      <c r="H100" s="229"/>
    </row>
    <row r="101" spans="1:8" s="59" customFormat="1" ht="15.6" x14ac:dyDescent="0.3">
      <c r="A101" s="219" t="str">
        <f>IF($E$2="f","Contribution d’entretient","Unterhaltsbeitrag")</f>
        <v>Unterhaltsbeitrag</v>
      </c>
      <c r="B101" s="227"/>
      <c r="C101" s="227"/>
      <c r="D101" s="227"/>
      <c r="E101" s="227"/>
      <c r="F101" s="227"/>
      <c r="G101" s="227"/>
      <c r="H101" s="227"/>
    </row>
    <row r="102" spans="1:8" s="254" customFormat="1" x14ac:dyDescent="0.25">
      <c r="A102" s="232"/>
      <c r="B102" s="229"/>
      <c r="C102" s="229"/>
      <c r="D102" s="229"/>
      <c r="E102" s="229"/>
      <c r="F102" s="229"/>
      <c r="G102" s="229"/>
      <c r="H102" s="229"/>
    </row>
    <row r="103" spans="1:8" s="254" customFormat="1" ht="26.4" x14ac:dyDescent="0.25">
      <c r="A103" s="224" t="str">
        <f>Hauptblatt!A108</f>
        <v>Unterhaltsanspruch hauptbetreuender Elternteil und Kinder total</v>
      </c>
      <c r="C103" s="287">
        <f>Hauptblatt!C108</f>
        <v>5752.7011748766563</v>
      </c>
      <c r="D103" s="229"/>
      <c r="E103" s="229"/>
      <c r="F103" s="229"/>
      <c r="G103" s="229"/>
      <c r="H103" s="227"/>
    </row>
    <row r="104" spans="1:8" s="254" customFormat="1" ht="26.4" x14ac:dyDescent="0.25">
      <c r="A104" s="224" t="str">
        <f>Hauptblatt!A109</f>
        <v>./. Grundbedarf Kinder abzüglich eigenes Einkommen</v>
      </c>
      <c r="B104" s="229"/>
      <c r="C104" s="194">
        <f>Hauptblatt!C109</f>
        <v>-2038.9103029078838</v>
      </c>
      <c r="D104" s="194">
        <f>Hauptblatt!D109</f>
        <v>1140.4523013710818</v>
      </c>
      <c r="E104" s="194">
        <f>Hauptblatt!E109</f>
        <v>898.45800153680193</v>
      </c>
      <c r="F104" s="194">
        <f>Hauptblatt!F109</f>
        <v>0</v>
      </c>
      <c r="G104" s="194">
        <f>Hauptblatt!G109</f>
        <v>0</v>
      </c>
      <c r="H104" s="227">
        <f>Hauptblatt!H109</f>
        <v>0</v>
      </c>
    </row>
    <row r="105" spans="1:8" s="254" customFormat="1" x14ac:dyDescent="0.25">
      <c r="A105" s="224" t="str">
        <f>Hauptblatt!A110</f>
        <v>./. Vorabzuteilung an Kinder</v>
      </c>
      <c r="B105" s="229"/>
      <c r="C105" s="194">
        <f>Hauptblatt!C110</f>
        <v>0</v>
      </c>
      <c r="D105" s="194">
        <f>Hauptblatt!D110</f>
        <v>0</v>
      </c>
      <c r="E105" s="194">
        <f>Hauptblatt!E110</f>
        <v>0</v>
      </c>
      <c r="F105" s="194">
        <f>Hauptblatt!F110</f>
        <v>0</v>
      </c>
      <c r="G105" s="194">
        <f>Hauptblatt!G110</f>
        <v>0</v>
      </c>
      <c r="H105" s="227">
        <f>Hauptblatt!H110</f>
        <v>0</v>
      </c>
    </row>
    <row r="106" spans="1:8" s="254" customFormat="1" x14ac:dyDescent="0.25">
      <c r="A106" s="164" t="str">
        <f>Hauptblatt!A111</f>
        <v>./. Anteil Überschuss für Barunterhalt Kinder</v>
      </c>
      <c r="B106" s="229"/>
      <c r="C106" s="194">
        <f>Hauptblatt!C111</f>
        <v>-750.64788762334456</v>
      </c>
      <c r="D106" s="231">
        <f>Hauptblatt!D111</f>
        <v>375.32394381167228</v>
      </c>
      <c r="E106" s="231">
        <f>Hauptblatt!E111</f>
        <v>375.32394381167228</v>
      </c>
      <c r="F106" s="231">
        <f>Hauptblatt!F111</f>
        <v>0</v>
      </c>
      <c r="G106" s="231">
        <f>Hauptblatt!G111</f>
        <v>0</v>
      </c>
      <c r="H106" s="227">
        <f>Hauptblatt!H111</f>
        <v>0</v>
      </c>
    </row>
    <row r="107" spans="1:8" s="254" customFormat="1" x14ac:dyDescent="0.25">
      <c r="A107" s="164"/>
      <c r="B107" s="194"/>
      <c r="C107" s="194"/>
      <c r="D107" s="194"/>
      <c r="E107" s="194"/>
      <c r="F107" s="194"/>
      <c r="G107" s="194"/>
      <c r="H107" s="227"/>
    </row>
    <row r="108" spans="1:8" s="254" customFormat="1" ht="26.4" x14ac:dyDescent="0.25">
      <c r="A108" s="256" t="str">
        <f>Hauptblatt!A113</f>
        <v>Verbleibend für Lebenskosten hauptbetreuender Elternteil</v>
      </c>
      <c r="B108" s="227"/>
      <c r="C108" s="227">
        <f>Hauptblatt!C113</f>
        <v>2963.142984345428</v>
      </c>
      <c r="D108" s="227"/>
      <c r="E108" s="227"/>
      <c r="F108" s="227"/>
      <c r="G108" s="227"/>
      <c r="H108" s="227"/>
    </row>
    <row r="109" spans="1:8" s="254" customFormat="1" ht="26.4" x14ac:dyDescent="0.25">
      <c r="A109" s="256" t="str">
        <f>Hauptblatt!A114</f>
        <v>Anteil Kinderkosten z.L. hauptbetreuender Elternteil</v>
      </c>
      <c r="B109" s="227"/>
      <c r="C109" s="227">
        <f>Hauptblatt!C114</f>
        <v>0</v>
      </c>
      <c r="D109" s="227"/>
      <c r="E109" s="227"/>
      <c r="F109" s="227"/>
      <c r="G109" s="227"/>
      <c r="H109" s="227"/>
    </row>
    <row r="110" spans="1:8" s="254" customFormat="1" x14ac:dyDescent="0.25">
      <c r="A110" s="256"/>
      <c r="B110" s="227"/>
      <c r="C110" s="227"/>
      <c r="D110" s="227"/>
      <c r="E110" s="227"/>
      <c r="F110" s="227"/>
      <c r="G110" s="227"/>
      <c r="H110" s="227"/>
    </row>
    <row r="111" spans="1:8" s="254" customFormat="1" ht="25.5" hidden="1" customHeight="1" x14ac:dyDescent="0.25">
      <c r="A111" s="224" t="str">
        <f>IF($E$2="f","Temps de prise en charge en pourcentage en fonction de l’âge","Betreuungszeit in Prozent aufgrund Alter")</f>
        <v>Betreuungszeit in Prozent aufgrund Alter</v>
      </c>
      <c r="B111" s="227"/>
      <c r="C111" s="227"/>
      <c r="D111" s="268"/>
      <c r="E111" s="268"/>
      <c r="F111" s="268"/>
      <c r="G111" s="268"/>
      <c r="H111" s="269">
        <f>SUM(D111:G111)</f>
        <v>0</v>
      </c>
    </row>
    <row r="112" spans="1:8" s="254" customFormat="1" ht="25.5" hidden="1" customHeight="1" x14ac:dyDescent="0.25">
      <c r="A112" s="224" t="str">
        <f>IF($E$2="f","Part à la contribution de prise en charge en pourcentage","Anteil am Betreuungsunterhalt in Prozent")</f>
        <v>Anteil am Betreuungsunterhalt in Prozent</v>
      </c>
      <c r="B112" s="194"/>
      <c r="C112" s="194"/>
      <c r="D112" s="271">
        <f>IF($H111=0,IF(D12="",0,1/COUNT($D12:$G12)),IF(D111="",0,IF(D111=0,0,D111/$H111)))</f>
        <v>0.5</v>
      </c>
      <c r="E112" s="271">
        <f t="shared" ref="E112:G112" si="7">IF($H111=0,IF(E12="",0,1/COUNT($D12:$G12)),IF(E111="",0,IF(E111=0,0,E111/$H111)))</f>
        <v>0.5</v>
      </c>
      <c r="F112" s="271">
        <f t="shared" si="7"/>
        <v>0</v>
      </c>
      <c r="G112" s="271">
        <f t="shared" si="7"/>
        <v>0</v>
      </c>
      <c r="H112" s="269">
        <f>SUM(D112:G112)</f>
        <v>1</v>
      </c>
    </row>
    <row r="113" spans="1:8" s="254" customFormat="1" ht="38.25" hidden="1" customHeight="1" x14ac:dyDescent="0.25">
      <c r="A113" s="224" t="str">
        <f>IF($E$2="f","./. Compensation du déficit (sans prévoyance, contributions d’entretien) par la contribution de prise en charge","./. Ausgleich Manko (ohne Vorsorge, Unterhaltsbeiträge) durch Betreuungsunterhalt")</f>
        <v>./. Ausgleich Manko (ohne Vorsorge, Unterhaltsbeiträge) durch Betreuungsunterhalt</v>
      </c>
      <c r="B113" s="194"/>
      <c r="C113" s="194">
        <f>IF(H112=0,0,IF(COUNT(B12:G12)=0,0,MIN(MAX(IF(C77&lt;=0,C77-C75,0),-C108),0)))</f>
        <v>-2212.495096722083</v>
      </c>
      <c r="D113" s="194">
        <f>-$C113*D112</f>
        <v>1106.2475483610415</v>
      </c>
      <c r="E113" s="194">
        <f t="shared" ref="E113:G113" si="8">-$C113*E112</f>
        <v>1106.2475483610415</v>
      </c>
      <c r="F113" s="194">
        <f t="shared" si="8"/>
        <v>0</v>
      </c>
      <c r="G113" s="194">
        <f t="shared" si="8"/>
        <v>0</v>
      </c>
      <c r="H113" s="227">
        <f>SUM(C113:G113)</f>
        <v>0</v>
      </c>
    </row>
    <row r="114" spans="1:8" s="254" customFormat="1" ht="25.5" hidden="1" customHeight="1" x14ac:dyDescent="0.25">
      <c r="A114" s="224" t="str">
        <f>IF($E$2="f","./. Part à l’excédent pour la contribution de prise en charge","./. Anteil Überschuss für Betreuungsunterhalt")</f>
        <v>./. Anteil Überschuss für Betreuungsunterhalt</v>
      </c>
      <c r="B114" s="194"/>
      <c r="C114" s="194">
        <f>-SUM(D114:G114)</f>
        <v>0</v>
      </c>
      <c r="D114" s="259">
        <f>D93-D106</f>
        <v>0</v>
      </c>
      <c r="E114" s="259">
        <f t="shared" ref="E114:G114" si="9">E93-E106</f>
        <v>0</v>
      </c>
      <c r="F114" s="259">
        <f t="shared" si="9"/>
        <v>0</v>
      </c>
      <c r="G114" s="259">
        <f t="shared" si="9"/>
        <v>0</v>
      </c>
      <c r="H114" s="227">
        <f>SUM(C114:G114)</f>
        <v>0</v>
      </c>
    </row>
    <row r="115" spans="1:8" s="254" customFormat="1" hidden="1" x14ac:dyDescent="0.25">
      <c r="A115" s="164"/>
      <c r="B115" s="164"/>
      <c r="C115" s="194"/>
      <c r="D115" s="194"/>
      <c r="E115" s="194"/>
      <c r="F115" s="194"/>
      <c r="G115" s="194"/>
      <c r="H115" s="227"/>
    </row>
    <row r="116" spans="1:8" s="254" customFormat="1" hidden="1" x14ac:dyDescent="0.25">
      <c r="A116" s="226" t="str">
        <f>IF($E$2="f","Solde restant","Verbleibend")</f>
        <v>Verbleibend</v>
      </c>
      <c r="B116" s="226"/>
      <c r="C116" s="227">
        <f>SUM(C108:C114)</f>
        <v>750.64788762334501</v>
      </c>
      <c r="D116" s="227"/>
      <c r="E116" s="227"/>
      <c r="F116" s="227"/>
      <c r="G116" s="227"/>
      <c r="H116" s="227"/>
    </row>
    <row r="117" spans="1:8" s="254" customFormat="1" hidden="1" x14ac:dyDescent="0.25">
      <c r="A117" s="164"/>
      <c r="B117" s="164"/>
      <c r="C117" s="194"/>
      <c r="D117" s="194"/>
      <c r="E117" s="194"/>
      <c r="F117" s="194"/>
      <c r="G117" s="194"/>
      <c r="H117" s="227"/>
    </row>
    <row r="118" spans="1:8" s="254" customFormat="1" ht="25.5" hidden="1" customHeight="1" x14ac:dyDescent="0.25">
      <c r="A118" s="224" t="str">
        <f>IF($E$2="f","./. Redistribution vers/de la contribution de prise en charge","./. Umlagerung auf/von Betreuungsunterhalt")</f>
        <v>./. Umlagerung auf/von Betreuungsunterhalt</v>
      </c>
      <c r="B118" s="261">
        <f>IF(E7="n",100%,0%)</f>
        <v>0</v>
      </c>
      <c r="C118" s="194">
        <f>-SUM(D118:G118)</f>
        <v>0</v>
      </c>
      <c r="D118" s="194">
        <f>IF($C$116&gt;0,IF($B118&gt;0,$C$116*$B$118*D$112,$B$118*SUM(D113:D114)),0)</f>
        <v>0</v>
      </c>
      <c r="E118" s="194">
        <f>IF($C$116&gt;0,IF($B118&gt;0,$C$116*$B$118*E$112,$B$118*SUM(E113:E114)),0)</f>
        <v>0</v>
      </c>
      <c r="F118" s="194">
        <f>IF($C$116&gt;0,IF($B118&gt;0,$C$116*$B$118*F$112,$B$118*SUM(F113:F114)),0)</f>
        <v>0</v>
      </c>
      <c r="G118" s="194">
        <f>IF($C$116&gt;0,IF($B118&gt;0,$C$116*$B$118*G$112,$B$118*SUM(G113:G114)),0)</f>
        <v>0</v>
      </c>
      <c r="H118" s="227">
        <f>SUM(C118:G118)</f>
        <v>0</v>
      </c>
    </row>
    <row r="119" spans="1:8" s="254" customFormat="1" ht="26.4" hidden="1" x14ac:dyDescent="0.25">
      <c r="A119" s="224" t="str">
        <f>IF($E$2="f","Part des frais de l’enfant à charge du parent qui assure la prise en charge principale","Anteil Kinderkosten z.L. hauptbetreuender Elternteil")</f>
        <v>Anteil Kinderkosten z.L. hauptbetreuender Elternteil</v>
      </c>
      <c r="B119" s="261">
        <v>1</v>
      </c>
      <c r="C119" s="194">
        <f>-SUM(D119:G119)</f>
        <v>0</v>
      </c>
      <c r="D119" s="194">
        <f>IF($C$116&lt;0,$C$116*$B$119*D$112,0)</f>
        <v>0</v>
      </c>
      <c r="E119" s="194">
        <f t="shared" ref="E119:G119" si="10">IF($C$116&lt;0,$C$116*$B$119*E$112,0)</f>
        <v>0</v>
      </c>
      <c r="F119" s="194">
        <f t="shared" si="10"/>
        <v>0</v>
      </c>
      <c r="G119" s="194">
        <f t="shared" si="10"/>
        <v>0</v>
      </c>
      <c r="H119" s="227">
        <f>SUM(C119:G119)</f>
        <v>0</v>
      </c>
    </row>
    <row r="120" spans="1:8" s="254" customFormat="1" hidden="1" x14ac:dyDescent="0.25">
      <c r="B120" s="224"/>
      <c r="C120" s="194"/>
      <c r="D120" s="194"/>
      <c r="E120" s="194"/>
      <c r="F120" s="194"/>
      <c r="G120" s="194"/>
      <c r="H120" s="227"/>
    </row>
    <row r="121" spans="1:8" s="254" customFormat="1" ht="15.6" x14ac:dyDescent="0.3">
      <c r="A121" s="219" t="str">
        <f>IF($E$2="f","Résultat","Resultat")</f>
        <v>Resultat</v>
      </c>
      <c r="B121" s="194"/>
      <c r="C121" s="194"/>
      <c r="D121" s="194"/>
      <c r="E121" s="194"/>
      <c r="F121" s="194"/>
      <c r="G121" s="194"/>
      <c r="H121" s="227"/>
    </row>
    <row r="122" spans="1:8" s="254" customFormat="1" x14ac:dyDescent="0.25">
      <c r="A122" s="164"/>
      <c r="B122" s="164"/>
      <c r="C122" s="194"/>
      <c r="D122" s="194"/>
      <c r="E122" s="194"/>
      <c r="F122" s="194"/>
      <c r="G122" s="194"/>
      <c r="H122" s="227"/>
    </row>
    <row r="123" spans="1:8" s="254" customFormat="1" ht="26.4" x14ac:dyDescent="0.25">
      <c r="A123" s="255" t="str">
        <f>Hauptblatt!A129</f>
        <v>persönlicher Unterhaltsbeitrag hauptbetreuender Elternteil</v>
      </c>
      <c r="B123" s="229"/>
      <c r="C123" s="229">
        <f>Hauptblatt!C129</f>
        <v>1487.1755996615861</v>
      </c>
      <c r="D123" s="194"/>
      <c r="E123" s="194"/>
      <c r="F123" s="194"/>
      <c r="G123" s="194"/>
      <c r="H123" s="227"/>
    </row>
    <row r="124" spans="1:8" s="254" customFormat="1" x14ac:dyDescent="0.25">
      <c r="D124" s="229"/>
      <c r="E124" s="229"/>
      <c r="F124" s="229"/>
      <c r="G124" s="229"/>
      <c r="H124" s="229"/>
    </row>
    <row r="125" spans="1:8" s="254" customFormat="1" x14ac:dyDescent="0.25">
      <c r="A125" s="85" t="str">
        <f>Hauptblatt!A131</f>
        <v>Barunterhalt Kinder</v>
      </c>
      <c r="B125" s="194"/>
      <c r="C125" s="194"/>
      <c r="D125" s="194">
        <f>Hauptblatt!D131</f>
        <v>1515.7762451827541</v>
      </c>
      <c r="E125" s="194">
        <f>Hauptblatt!E131</f>
        <v>1273.7819453484742</v>
      </c>
      <c r="F125" s="194">
        <f>Hauptblatt!F131</f>
        <v>0</v>
      </c>
      <c r="G125" s="194">
        <f>Hauptblatt!G131</f>
        <v>0</v>
      </c>
      <c r="H125" s="227">
        <f>Hauptblatt!H131</f>
        <v>2789.5581905312283</v>
      </c>
    </row>
    <row r="126" spans="1:8" s="254" customFormat="1" x14ac:dyDescent="0.25">
      <c r="A126" s="224" t="str">
        <f>Hauptblatt!A132</f>
        <v>Betreuungsunterhalt</v>
      </c>
      <c r="B126" s="194"/>
      <c r="C126" s="194"/>
      <c r="D126" s="194">
        <f>Hauptblatt!D132</f>
        <v>737.98369234192091</v>
      </c>
      <c r="E126" s="194">
        <f>Hauptblatt!E132</f>
        <v>737.98369234192091</v>
      </c>
      <c r="F126" s="194">
        <f>Hauptblatt!F132</f>
        <v>0</v>
      </c>
      <c r="G126" s="194">
        <f>Hauptblatt!G132</f>
        <v>0</v>
      </c>
      <c r="H126" s="227">
        <f>Hauptblatt!H132</f>
        <v>1475.9673846838418</v>
      </c>
    </row>
    <row r="127" spans="1:8" s="254" customFormat="1" ht="25.5" customHeight="1" x14ac:dyDescent="0.25">
      <c r="A127" s="224" t="str">
        <f>Hauptblatt!A133</f>
        <v>./. Anteil hauptbetreuender Elternteil/Anteil Manko</v>
      </c>
      <c r="B127" s="194"/>
      <c r="C127" s="194"/>
      <c r="D127" s="194">
        <f>Hauptblatt!D133</f>
        <v>0</v>
      </c>
      <c r="E127" s="194">
        <f>Hauptblatt!E133</f>
        <v>0</v>
      </c>
      <c r="F127" s="194">
        <f>Hauptblatt!F133</f>
        <v>0</v>
      </c>
      <c r="G127" s="194">
        <f>Hauptblatt!G133</f>
        <v>0</v>
      </c>
      <c r="H127" s="227">
        <f>Hauptblatt!H133</f>
        <v>0</v>
      </c>
    </row>
    <row r="128" spans="1:8" s="254" customFormat="1" x14ac:dyDescent="0.25">
      <c r="A128" s="218"/>
      <c r="B128" s="116"/>
      <c r="C128" s="116"/>
      <c r="D128" s="116"/>
      <c r="E128" s="116"/>
      <c r="F128" s="116"/>
      <c r="G128" s="116"/>
      <c r="H128" s="227"/>
    </row>
    <row r="129" spans="1:8" s="254" customFormat="1" x14ac:dyDescent="0.25">
      <c r="A129" s="232" t="str">
        <f>Hauptblatt!A135</f>
        <v>Unterhaltsbeitrag Kinder insgesamt</v>
      </c>
      <c r="B129" s="229"/>
      <c r="C129" s="229"/>
      <c r="D129" s="229">
        <f>Hauptblatt!D135</f>
        <v>2253.759937524675</v>
      </c>
      <c r="E129" s="229">
        <f>Hauptblatt!E135</f>
        <v>2011.7656376903951</v>
      </c>
      <c r="F129" s="229">
        <f>Hauptblatt!F135</f>
        <v>0</v>
      </c>
      <c r="G129" s="229">
        <f>Hauptblatt!G135</f>
        <v>0</v>
      </c>
      <c r="H129" s="229">
        <f>Hauptblatt!H135</f>
        <v>4265.5255752150697</v>
      </c>
    </row>
    <row r="130" spans="1:8" s="254" customFormat="1" x14ac:dyDescent="0.25">
      <c r="A130" s="164"/>
      <c r="B130" s="194"/>
      <c r="C130" s="194"/>
      <c r="D130" s="194"/>
      <c r="E130" s="194"/>
      <c r="F130" s="194"/>
      <c r="G130" s="194"/>
      <c r="H130" s="227"/>
    </row>
    <row r="131" spans="1:8" s="254" customFormat="1" ht="12.75" customHeight="1" x14ac:dyDescent="0.25">
      <c r="A131" s="226" t="str">
        <f>Hauptblatt!A137</f>
        <v>Unterhaltsbeiträge total</v>
      </c>
      <c r="B131" s="227"/>
      <c r="C131" s="227">
        <f>Hauptblatt!C137</f>
        <v>5752.7011748766563</v>
      </c>
      <c r="D131" s="194"/>
      <c r="E131" s="194"/>
      <c r="F131" s="194"/>
      <c r="G131" s="194"/>
      <c r="H131" s="227"/>
    </row>
    <row r="132" spans="1:8" x14ac:dyDescent="0.25">
      <c r="A132" s="226" t="str">
        <f>IF(OR(D18="m",E18="m",F18="m",G18="m"),IF(E2="f","plus allocations familiales","zuzüglich Familienzulagen"),"")</f>
        <v/>
      </c>
      <c r="C132" s="227" t="str">
        <f>IF(A132="","",SUMIF(D18:G18,"m",D29:G29))</f>
        <v/>
      </c>
    </row>
    <row r="134" spans="1:8" x14ac:dyDescent="0.25">
      <c r="A134" s="232" t="str">
        <f>Hauptblatt!A140</f>
        <v>Verteilung Manko</v>
      </c>
    </row>
    <row r="135" spans="1:8" x14ac:dyDescent="0.25">
      <c r="A135" s="164" t="str">
        <f>Hauptblatt!A141</f>
        <v>Barunterhalt Kinder</v>
      </c>
      <c r="D135" s="116">
        <f>Hauptblatt!D141</f>
        <v>0</v>
      </c>
      <c r="E135" s="116">
        <f>Hauptblatt!E141</f>
        <v>0</v>
      </c>
      <c r="F135" s="116">
        <f>Hauptblatt!F141</f>
        <v>0</v>
      </c>
      <c r="G135" s="116">
        <f>Hauptblatt!G141</f>
        <v>0</v>
      </c>
      <c r="H135" s="227">
        <f>Hauptblatt!H141</f>
        <v>0</v>
      </c>
    </row>
    <row r="136" spans="1:8" x14ac:dyDescent="0.25">
      <c r="A136" s="164" t="str">
        <f>Hauptblatt!A142</f>
        <v>Betreuungsunterhalt</v>
      </c>
      <c r="D136" s="116">
        <f>Hauptblatt!D142</f>
        <v>0</v>
      </c>
      <c r="E136" s="116">
        <f>Hauptblatt!E142</f>
        <v>0</v>
      </c>
      <c r="F136" s="116">
        <f>Hauptblatt!F142</f>
        <v>0</v>
      </c>
      <c r="G136" s="116">
        <f>Hauptblatt!G142</f>
        <v>0</v>
      </c>
      <c r="H136" s="227">
        <f>Hauptblatt!H142</f>
        <v>0</v>
      </c>
    </row>
    <row r="137" spans="1:8" x14ac:dyDescent="0.25">
      <c r="A137" s="164" t="str">
        <f>Hauptblatt!A143</f>
        <v>Persönlicher Unterhalt</v>
      </c>
      <c r="B137" s="116">
        <f>Hauptblatt!B143</f>
        <v>0</v>
      </c>
      <c r="C137" s="116">
        <f>Hauptblatt!C143</f>
        <v>0</v>
      </c>
      <c r="D137" s="115" t="str">
        <f>Hauptblatt!D143</f>
        <v>---</v>
      </c>
      <c r="E137" s="115" t="str">
        <f>Hauptblatt!E143</f>
        <v>---</v>
      </c>
      <c r="F137" s="115" t="str">
        <f>Hauptblatt!F143</f>
        <v>---</v>
      </c>
      <c r="G137" s="115" t="str">
        <f>Hauptblatt!G143</f>
        <v>---</v>
      </c>
      <c r="H137" s="227">
        <f>Hauptblatt!H143</f>
        <v>0</v>
      </c>
    </row>
    <row r="138" spans="1:8" x14ac:dyDescent="0.25">
      <c r="A138" s="226" t="str">
        <f>Hauptblatt!A144</f>
        <v>Total</v>
      </c>
      <c r="B138" s="227">
        <f>Hauptblatt!B144</f>
        <v>0</v>
      </c>
      <c r="C138" s="227">
        <f>Hauptblatt!C144</f>
        <v>0</v>
      </c>
      <c r="D138" s="227">
        <f>Hauptblatt!D144</f>
        <v>0</v>
      </c>
      <c r="E138" s="227">
        <f>Hauptblatt!E144</f>
        <v>0</v>
      </c>
      <c r="F138" s="227">
        <f>Hauptblatt!F144</f>
        <v>0</v>
      </c>
      <c r="G138" s="227">
        <f>Hauptblatt!G144</f>
        <v>0</v>
      </c>
      <c r="H138" s="229">
        <f>Hauptblatt!H144</f>
        <v>0</v>
      </c>
    </row>
  </sheetData>
  <mergeCells count="2">
    <mergeCell ref="C8:C10"/>
    <mergeCell ref="B20:C20"/>
  </mergeCells>
  <conditionalFormatting sqref="B16">
    <cfRule type="cellIs" dxfId="36" priority="12" operator="equal">
      <formula>0.01</formula>
    </cfRule>
  </conditionalFormatting>
  <conditionalFormatting sqref="B118">
    <cfRule type="cellIs" dxfId="34" priority="25" operator="equal">
      <formula>0</formula>
    </cfRule>
  </conditionalFormatting>
  <conditionalFormatting sqref="B17:C17">
    <cfRule type="cellIs" dxfId="33" priority="63" stopIfTrue="1" operator="equal">
      <formula>1</formula>
    </cfRule>
  </conditionalFormatting>
  <conditionalFormatting sqref="B46:C46">
    <cfRule type="cellIs" dxfId="32" priority="23" stopIfTrue="1" operator="equal">
      <formula>1</formula>
    </cfRule>
  </conditionalFormatting>
  <conditionalFormatting sqref="B50:C50">
    <cfRule type="cellIs" dxfId="31" priority="22" stopIfTrue="1" operator="equal">
      <formula>1</formula>
    </cfRule>
  </conditionalFormatting>
  <conditionalFormatting sqref="B56:C56">
    <cfRule type="expression" dxfId="30" priority="2">
      <formula>$H$77&lt;0</formula>
    </cfRule>
  </conditionalFormatting>
  <conditionalFormatting sqref="D18:G18">
    <cfRule type="containsText" dxfId="28" priority="64" operator="containsText" text="f">
      <formula>NOT(ISERROR(SEARCH("f",D18)))</formula>
    </cfRule>
    <cfRule type="containsText" dxfId="27" priority="65" operator="containsText" text="m">
      <formula>NOT(ISERROR(SEARCH("m",D18)))</formula>
    </cfRule>
    <cfRule type="expression" dxfId="26" priority="66">
      <formula>$D$12&gt;0</formula>
    </cfRule>
    <cfRule type="colorScale" priority="67">
      <colorScale>
        <cfvo type="min"/>
        <cfvo type="max"/>
        <color rgb="FFFF7128"/>
        <color rgb="FFFFEF9C"/>
      </colorScale>
    </cfRule>
  </conditionalFormatting>
  <conditionalFormatting sqref="D48:G48">
    <cfRule type="cellIs" dxfId="25" priority="48" operator="notEqual">
      <formula>0</formula>
    </cfRule>
    <cfRule type="expression" dxfId="24" priority="49">
      <formula>$D$12&gt;0</formula>
    </cfRule>
  </conditionalFormatting>
  <conditionalFormatting sqref="D51:G51">
    <cfRule type="cellIs" dxfId="23" priority="32" operator="notEqual">
      <formula>0</formula>
    </cfRule>
    <cfRule type="expression" dxfId="22" priority="33">
      <formula>$D$12&gt;0</formula>
    </cfRule>
  </conditionalFormatting>
  <conditionalFormatting sqref="D56:G56">
    <cfRule type="cellIs" dxfId="21" priority="40" operator="notEqual">
      <formula>0</formula>
    </cfRule>
    <cfRule type="expression" dxfId="20" priority="41">
      <formula>$D$12&gt;0</formula>
    </cfRule>
  </conditionalFormatting>
  <conditionalFormatting sqref="D106:G106">
    <cfRule type="expression" dxfId="19" priority="19">
      <formula>$D$114&lt;0</formula>
    </cfRule>
    <cfRule type="expression" dxfId="18" priority="20">
      <formula>$D$114&gt;$D$113</formula>
    </cfRule>
  </conditionalFormatting>
  <conditionalFormatting sqref="H112">
    <cfRule type="cellIs" dxfId="17" priority="6" operator="notEqual">
      <formula>1</formula>
    </cfRule>
  </conditionalFormatting>
  <dataValidations count="9">
    <dataValidation allowBlank="1" showErrorMessage="1" sqref="B30:G37" xr:uid="{00000000-0002-0000-0100-000000000000}"/>
    <dataValidation type="list" allowBlank="1" showInputMessage="1" showErrorMessage="1" sqref="E7" xr:uid="{00000000-0002-0000-0100-000001000000}">
      <formula1>"j,o,n"</formula1>
    </dataValidation>
    <dataValidation type="list" allowBlank="1" showInputMessage="1" showErrorMessage="1" sqref="B15:C15" xr:uid="{00000000-0002-0000-0100-000002000000}">
      <formula1>"n,j,o"</formula1>
    </dataValidation>
    <dataValidation type="list" allowBlank="1" prompt="Steuerberechnung möglich für BE, ZH, AG, SG, SO, BL, BS._x000a_Calcul des impôts possible pour BE, ZH, AG, SG, SO, BL, BS." sqref="B14:C14" xr:uid="{00000000-0002-0000-0100-000003000000}">
      <formula1>"BE,ZH,LU,FR,SO,BS,BL,SG,AG,AR"</formula1>
    </dataValidation>
    <dataValidation type="list" allowBlank="1" showInputMessage="1" sqref="E2" xr:uid="{00000000-0002-0000-0100-000004000000}">
      <formula1>"d,f"</formula1>
    </dataValidation>
    <dataValidation type="list" allowBlank="1" showInputMessage="1" sqref="H4" xr:uid="{00000000-0002-0000-0100-000005000000}">
      <formula1>"2014,2015,2016,2017,2018,2019,2020,2021,2022,2023,2024,2025,2026,2027,2028,2029,2030,2031,2032,2033"</formula1>
    </dataValidation>
    <dataValidation allowBlank="1" showInputMessage="1" showErrorMessage="1" prompt="bei Kindern eingeben" sqref="B44:C45 B29:C29" xr:uid="{00000000-0002-0000-0100-000006000000}"/>
    <dataValidation allowBlank="1" showInputMessage="1" showErrorMessage="1" prompt="Eingeben: &quot;f&quot; für Ehefrau oder &quot;m&quot; für Ehemann._x000a_Entrée: &quot;f&quot; pour l'épouse ou &quot;m&quot; pour l'époux." sqref="D18:G18" xr:uid="{00000000-0002-0000-0100-000007000000}"/>
    <dataValidation errorStyle="warning" operator="lessThanOrEqual" allowBlank="1" showInputMessage="1" showErrorMessage="1" error="Nur negative Werte!" sqref="B80:G80" xr:uid="{00000000-0002-0000-0100-000008000000}"/>
  </dataValidations>
  <pageMargins left="0.78740157480314965" right="0.39370078740157483" top="0.78740157480314965" bottom="0" header="0.31496062992125984" footer="0"/>
  <pageSetup paperSize="9" scale="77" fitToHeight="2" orientation="portrait" blackAndWhite="1" r:id="rId1"/>
  <headerFooter differentFirst="1">
    <oddHeader>&amp;R&amp;P</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5" id="{134FF8C5-DC6A-4668-81C6-2FC33611A86C}">
            <xm:f>Steuerberechnung!$D$43=0</xm:f>
            <x14:dxf>
              <fill>
                <patternFill>
                  <bgColor theme="5" tint="0.59996337778862885"/>
                </patternFill>
              </fill>
            </x14:dxf>
          </x14:cfRule>
          <xm:sqref>B56</xm:sqref>
        </x14:conditionalFormatting>
        <x14:conditionalFormatting xmlns:xm="http://schemas.microsoft.com/office/excel/2006/main">
          <x14:cfRule type="expression" priority="3" id="{46F3D852-CBA6-4A65-BC1A-EC75759122B7}">
            <xm:f>Steuerberechnung!$B$43=0</xm:f>
            <x14:dxf>
              <fill>
                <patternFill>
                  <bgColor theme="5" tint="0.59996337778862885"/>
                </patternFill>
              </fill>
            </x14:dxf>
          </x14:cfRule>
          <xm:sqref>C56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J110"/>
  <sheetViews>
    <sheetView zoomScaleNormal="100" workbookViewId="0">
      <selection activeCell="A2" sqref="A2"/>
      <extLst>
        <ext xmlns:xlsdti="http://schemas.microsoft.com/office/spreadsheetml/2023/showDataTypeIcons" uri="{77bfe23e-c014-4d31-8a63-9c772dbf06b6}">
          <xlsdti:showDataTypeIcons visible="0"/>
        </ext>
      </extLst>
    </sheetView>
  </sheetViews>
  <sheetFormatPr baseColWidth="10" defaultColWidth="11.44140625" defaultRowHeight="13.2" x14ac:dyDescent="0.25"/>
  <cols>
    <col min="1" max="1" width="11.6640625" style="1" customWidth="1"/>
    <col min="2" max="2" width="39.5546875" style="1" customWidth="1"/>
    <col min="3" max="3" width="11.6640625" style="1" customWidth="1"/>
    <col min="4" max="4" width="7" style="1" customWidth="1"/>
    <col min="5" max="5" width="8" style="1" customWidth="1"/>
    <col min="6" max="6" width="10.88671875" style="1" customWidth="1"/>
    <col min="7" max="7" width="10.33203125" style="1" customWidth="1"/>
    <col min="8" max="8" width="8.6640625" style="1" customWidth="1"/>
    <col min="9" max="9" width="8.44140625" style="1" customWidth="1"/>
    <col min="10" max="10" width="2.44140625" style="1" customWidth="1"/>
    <col min="11" max="16384" width="11.44140625" style="1"/>
  </cols>
  <sheetData>
    <row r="1" spans="1:10" x14ac:dyDescent="0.25">
      <c r="A1" s="6" t="str">
        <f>IF($E$1="f","Auteur/e :","Autor/in:")</f>
        <v>Autor/in:</v>
      </c>
      <c r="B1" s="57" t="str">
        <f>Hauptblatt!A2</f>
        <v>Daniel Bähler und Annette Spycher</v>
      </c>
      <c r="C1" s="2" t="s">
        <v>68</v>
      </c>
      <c r="D1" s="4"/>
      <c r="E1" s="151" t="str">
        <f>Hauptblatt!E2</f>
        <v>d</v>
      </c>
      <c r="F1"/>
      <c r="I1" s="99" t="str">
        <f>Hauptblatt!H1</f>
        <v>© berechnungsblaetter.ch 10.25</v>
      </c>
    </row>
    <row r="2" spans="1:10" ht="9" customHeight="1" x14ac:dyDescent="0.25">
      <c r="B2" s="8"/>
      <c r="I2" s="42" t="str">
        <f ca="1">CELL("Dateiname")</f>
        <v>https://d.docs.live.net/b2791e7ce84ea9ea/Berechnungsblaetter/berechnungsblaetter.ch/Upload/[vorschau-excel.xlsx]Hauptblatt</v>
      </c>
    </row>
    <row r="3" spans="1:10" s="7" customFormat="1" ht="30" customHeight="1" x14ac:dyDescent="0.3">
      <c r="A3" s="7" t="str">
        <f>IF($E$1="f","Calcul des contributions d'entretien","Berechnungstabelle für Unterhaltsbeiträge")</f>
        <v>Berechnungstabelle für Unterhaltsbeiträge</v>
      </c>
      <c r="B3" s="9"/>
      <c r="E3" s="133">
        <f>Hauptblatt!H4</f>
        <v>2026</v>
      </c>
      <c r="F3" s="147"/>
      <c r="I3" s="245" t="str">
        <f>Hauptblatt!H2</f>
        <v>Auflage Oktober 2025</v>
      </c>
    </row>
    <row r="4" spans="1:10" x14ac:dyDescent="0.25">
      <c r="A4" s="59" t="str">
        <f>IF(E1="f","avec calcul des impôts directs des cantons BE, FR, ZH, LU, SO, BS, BL, AG, SG","mit Berechnung direkte Steuern Kantone BE, ZH, LU, FR, SO, BS, BL, SG, AG")</f>
        <v>mit Berechnung direkte Steuern Kantone BE, ZH, LU, FR, SO, BS, BL, SG, AG</v>
      </c>
      <c r="E4" s="156"/>
      <c r="F4" s="119"/>
      <c r="G4" s="85"/>
    </row>
    <row r="5" spans="1:10" x14ac:dyDescent="0.25">
      <c r="A5" s="187" t="str">
        <f>IF(E1="f","ainsi que de l'entretien de prévoyance","und Vorsorgeunterhalt")</f>
        <v>und Vorsorgeunterhalt</v>
      </c>
      <c r="E5" s="156"/>
      <c r="F5" s="166"/>
      <c r="G5" s="85"/>
    </row>
    <row r="6" spans="1:10" x14ac:dyDescent="0.25">
      <c r="F6" s="45"/>
      <c r="H6" s="45"/>
    </row>
    <row r="7" spans="1:10" x14ac:dyDescent="0.25">
      <c r="A7" s="43" t="str">
        <f>IF($E$1="f","Noms :","Namen:")</f>
        <v>Namen:</v>
      </c>
      <c r="B7" s="6" t="str">
        <f>Hauptblatt!A7</f>
        <v>Martin und Franziska</v>
      </c>
      <c r="C7" s="4"/>
      <c r="D7" s="44" t="str">
        <f>IF($E$1="f","année","Jahr")</f>
        <v>Jahr</v>
      </c>
      <c r="E7" s="44" t="str">
        <f>IF($E$1="f","âge","Alter")</f>
        <v>Alter</v>
      </c>
      <c r="F7" s="45" t="str">
        <f>IF($E$1="f","garde","Obhut")</f>
        <v>Obhut</v>
      </c>
      <c r="G7" s="59" t="str">
        <f>IF($E$1="f","supplément","Zuschlag")</f>
        <v>Zuschlag</v>
      </c>
      <c r="H7" s="45" t="str">
        <f>IF($E$1="f","récept. AF","Bezug FZ")</f>
        <v>Bezug FZ</v>
      </c>
      <c r="I7" s="45" t="str">
        <f>IF($E$1="f","AF","FZ")</f>
        <v>FZ</v>
      </c>
    </row>
    <row r="8" spans="1:10" x14ac:dyDescent="0.25">
      <c r="A8" s="85"/>
      <c r="B8" s="149" t="str">
        <f>IF(D8="","",IF(E3-D8&gt;17,IF($E$1="f","enfants mineurs seulement!","nur minderjährige Kinder!"),""))</f>
        <v/>
      </c>
      <c r="C8" s="49" t="str">
        <f>IF(Hauptblatt!D11="","",Hauptblatt!D11)</f>
        <v>Tanja</v>
      </c>
      <c r="D8" s="46">
        <f>IF(Hauptblatt!D12="","",Hauptblatt!D12)</f>
        <v>2013</v>
      </c>
      <c r="E8" s="96">
        <f>IF(D8="","",$E$3-D8)</f>
        <v>13</v>
      </c>
      <c r="F8" s="47" t="str">
        <f>IF(D8="","","n2")</f>
        <v>n2</v>
      </c>
      <c r="G8" s="96">
        <f>IF(E8="","",IF(F8="n1",IF(E8&lt;6,Grundlagen!D$26,IF(E8&lt;10,Grundlagen!D$27,IF(E8&lt;12,Grundlagen!D$28,Grundlagen!D$29))),IF(F8="n2",IF(E8&lt;6,Grundlagen!C$26,IF(E8&lt;10,Grundlagen!C$27,IF(E8&lt;12,Grundlagen!C$28,Grundlagen!C$29))))))</f>
        <v>600</v>
      </c>
      <c r="H8" s="47" t="str">
        <f>IF(Hauptblatt!D18="","",Hauptblatt!D18)</f>
        <v>n2</v>
      </c>
      <c r="I8" s="97">
        <f>IF(E8="","",IF(H8="?","",IF(H8="","",IF(H8="n2",IF(E8&lt;Grundlagen!$C$15,Grundlagen!$C$13,IF(E8&lt;Grundlagen!$C$17,Grundlagen!$C$14,Grundlagen!$C$16)),IF(H8="n1",IF(E8&lt;Grundlagen!$D$15,Grundlagen!$D$13,IF(E8&lt;Grundlagen!$D$17,Grundlagen!$D$14,Grundlagen!$D$16)))))))</f>
        <v>250</v>
      </c>
      <c r="J8" s="48">
        <f>IF(OR($A$14="",$C$14=""),"",IF(E8="","",IF(H8="n2",-I8,I8)))</f>
        <v>-250</v>
      </c>
    </row>
    <row r="9" spans="1:10" x14ac:dyDescent="0.25">
      <c r="A9" s="43" t="str">
        <f>IF($E$1="f","Date :","Datum:")</f>
        <v>Datum:</v>
      </c>
      <c r="B9" s="100">
        <f ca="1">NOW()</f>
        <v>45926.676709837964</v>
      </c>
      <c r="C9" s="49" t="str">
        <f>IF(Hauptblatt!E11="","",Hauptblatt!E11)</f>
        <v>Sandro</v>
      </c>
      <c r="D9" s="46">
        <f>IF(Hauptblatt!E12="","",Hauptblatt!E12)</f>
        <v>2017</v>
      </c>
      <c r="E9" s="96">
        <f>IF(D9="","",$E$3-D9)</f>
        <v>9</v>
      </c>
      <c r="F9" s="47" t="str">
        <f t="shared" ref="F9:F11" si="0">IF(D9="","","n2")</f>
        <v>n2</v>
      </c>
      <c r="G9" s="96">
        <f>IF(E9="","",IF(F9="n1",IF(E9&lt;6,Grundlagen!D$26,IF(E9&lt;10,Grundlagen!D$27,IF(E9&lt;12,Grundlagen!D$28,Grundlagen!D$29))),IF(F9="n2",IF(E9&lt;6,Grundlagen!C$26,IF(E9&lt;10,Grundlagen!C$27,IF(E9&lt;12,Grundlagen!C$28,Grundlagen!C$29))))))</f>
        <v>400</v>
      </c>
      <c r="H9" s="47" t="str">
        <f>IF(Hauptblatt!E18="","",Hauptblatt!E18)</f>
        <v>n2</v>
      </c>
      <c r="I9" s="97">
        <f>IF(E9="","",IF(H9="?","",IF(H9="","",IF(H9="n2",IF(E9&lt;Grundlagen!$C$15,Grundlagen!$C$13+IF(Grundlagen!$C$19&lt;3,Grundlagen!$C$18,0),IF(E9&lt;Grundlagen!$C$17,Grundlagen!$C$14+IF(Grundlagen!$C$19&lt;3,Grundlagen!$C$18,0),Grundlagen!$C$16+IF(Grundlagen!$C$19&lt;3,Grundlagen!$C$18,0))),IF(H9="n1",IF(E9&lt;Grundlagen!$D$15,Grundlagen!$D$13+IF(Grundlagen!$D$19&lt;3,Grundlagen!$D$18,0),IF(E9&lt;Grundlagen!$D$17,Grundlagen!$D$14+IF(Grundlagen!$D$19&lt;3,Grundlagen!$D$18,0),Grundlagen!$D$16+IF(Grundlagen!$D$19&lt;3,Grundlagen!$D$18,0))))))))</f>
        <v>250</v>
      </c>
      <c r="J9" s="48">
        <f>IF(OR($A$14="",$C$14=""),"",IF(E9="","",IF(H9="f",-I9,I9)))</f>
        <v>250</v>
      </c>
    </row>
    <row r="10" spans="1:10" x14ac:dyDescent="0.25">
      <c r="A10" s="2"/>
      <c r="C10" s="49" t="str">
        <f>IF(Hauptblatt!F11="","",Hauptblatt!F11)</f>
        <v/>
      </c>
      <c r="D10" s="46" t="str">
        <f>IF(Hauptblatt!F12="","",Hauptblatt!F12)</f>
        <v/>
      </c>
      <c r="E10" s="96" t="str">
        <f>IF(D10="","",$E$3-D10)</f>
        <v/>
      </c>
      <c r="F10" s="47" t="str">
        <f t="shared" si="0"/>
        <v/>
      </c>
      <c r="G10" s="96" t="str">
        <f>IF(E10="","",IF(F10="n1",IF(E10&lt;6,Grundlagen!D$26,IF(E10&lt;10,Grundlagen!D$27,IF(E10&lt;12,Grundlagen!D$28,Grundlagen!D$29))),IF(F10="n2",IF(E10&lt;6,Grundlagen!C$26,IF(E10&lt;10,Grundlagen!C$27,IF(E10&lt;12,Grundlagen!C$28,Grundlagen!C$29))))))</f>
        <v/>
      </c>
      <c r="H10" s="47" t="str">
        <f>IF(Hauptblatt!F18="","",Hauptblatt!F18)</f>
        <v/>
      </c>
      <c r="I10" s="97" t="str">
        <f>IF(E10="","",IF(H10="?","",IF(H10="","",IF(H10="n2",IF(E10&lt;Grundlagen!$C$15,Grundlagen!$C$13+IF(Grundlagen!$C$19&lt;4,Grundlagen!$C$18,0),IF(E10&lt;Grundlagen!$C$17,Grundlagen!$C$14+IF(Grundlagen!$C$19&lt;4,Grundlagen!$C$18,0),Grundlagen!$C$16+IF(Grundlagen!$C$19&lt;4,Grundlagen!$C$18,0))),IF(H10="n1",IF(E10&lt;Grundlagen!$D$15,Grundlagen!$D$13+IF(Grundlagen!$D$19&lt;4,Grundlagen!$D$18,0),IF(E10&lt;Grundlagen!$D$17,Grundlagen!$D$14+IF(Grundlagen!$D$19&lt;4,Grundlagen!$D$18,0),Grundlagen!$D$16+IF(Grundlagen!$D$19&lt;4,Grundlagen!$D$18,0))))))))</f>
        <v/>
      </c>
      <c r="J10" s="48" t="str">
        <f>IF(OR($A$14="",$C$14=""),"",IF(E10="","",IF(H10="f",-I10,I10)))</f>
        <v/>
      </c>
    </row>
    <row r="11" spans="1:10" x14ac:dyDescent="0.25">
      <c r="A11" s="50"/>
      <c r="B11" s="51"/>
      <c r="C11" s="49" t="str">
        <f>IF(Hauptblatt!G11="","",Hauptblatt!G11)</f>
        <v/>
      </c>
      <c r="D11" s="46" t="str">
        <f>IF(Hauptblatt!G12="","",Hauptblatt!G12)</f>
        <v/>
      </c>
      <c r="E11" s="96" t="str">
        <f>IF(D11="","",$E$3-D11)</f>
        <v/>
      </c>
      <c r="F11" s="47" t="str">
        <f t="shared" si="0"/>
        <v/>
      </c>
      <c r="G11" s="96" t="str">
        <f>IF(E11="","",IF(F11="n1",IF(E11&lt;6,Grundlagen!D$26,IF(E11&lt;10,Grundlagen!D$27,IF(E11&lt;12,Grundlagen!D$28,Grundlagen!D$29))),IF(F11="n2",IF(E11&lt;6,Grundlagen!C$26,IF(E11&lt;10,Grundlagen!C$27,IF(E11&lt;12,Grundlagen!C$28,Grundlagen!C$29))))))</f>
        <v/>
      </c>
      <c r="H11" s="47" t="str">
        <f>IF(Hauptblatt!G18="","",Hauptblatt!G18)</f>
        <v/>
      </c>
      <c r="I11" s="97" t="str">
        <f>IF(E11="","",IF(H11="?","",IF(H11="","",IF(H11="n2",IF(E11&lt;Grundlagen!$C$15,Grundlagen!$C$13+IF(Grundlagen!$C$19&lt;5,Grundlagen!$C$18,0),IF(E11&lt;Grundlagen!$C$17,Grundlagen!$C$14+IF(Grundlagen!$C$19&lt;5,Grundlagen!$C$18,0),Grundlagen!$C$16+IF(Grundlagen!$C$19&lt;5,Grundlagen!$C$18,0))),IF(H11="n1",IF(E11&lt;Grundlagen!$D$15,Grundlagen!$D$13+IF(Grundlagen!$D$19&lt;5,Grundlagen!$D$18,0),IF(E11&lt;Grundlagen!$D$17,Grundlagen!$D$14+IF(Grundlagen!$D$19&lt;5,Grundlagen!$D$18,0),Grundlagen!$D$16+IF(Grundlagen!$D$19&lt;5,Grundlagen!$D$18,0))))))))</f>
        <v/>
      </c>
      <c r="J11" s="48" t="str">
        <f>IF(OR($A$14="",$C$14=""),"",IF(E11="","",IF(H11="f",-I11,I11)))</f>
        <v/>
      </c>
    </row>
    <row r="12" spans="1:10" x14ac:dyDescent="0.25">
      <c r="A12" s="2"/>
      <c r="C12" s="23"/>
      <c r="D12" s="2"/>
    </row>
    <row r="13" spans="1:10" ht="31.5" customHeight="1" x14ac:dyDescent="0.3">
      <c r="A13" s="289" t="str">
        <f>CONCATENATE(Hauptblatt!C11," (n2)")</f>
        <v>Franziska (n2)</v>
      </c>
      <c r="B13" s="53" t="str">
        <f>IF($E$1="f","1. Données de base","1. Angaben")</f>
        <v>1. Angaben</v>
      </c>
      <c r="C13" s="289" t="str">
        <f>CONCATENATE(Hauptblatt!B11," (n1)")</f>
        <v>Martin (n1)</v>
      </c>
      <c r="E13" s="43" t="str">
        <f>IF($E$1="f","Remarques:","Bemerkungen:")</f>
        <v>Bemerkungen:</v>
      </c>
    </row>
    <row r="14" spans="1:10" x14ac:dyDescent="0.25">
      <c r="A14" s="129" t="str">
        <f>Hauptblatt!C14</f>
        <v>BE</v>
      </c>
      <c r="B14" s="121" t="str">
        <f>IF($E$1="f","Canton de domicile (plaque automobile)","Wohnsitzkanton (Autokennzeichen)")</f>
        <v>Wohnsitzkanton (Autokennzeichen)</v>
      </c>
      <c r="C14" s="129" t="str">
        <f>Hauptblatt!B14</f>
        <v>BE</v>
      </c>
    </row>
    <row r="15" spans="1:10" x14ac:dyDescent="0.25">
      <c r="A15" s="130">
        <f>COUNTIF(F8:F11,"n2")</f>
        <v>2</v>
      </c>
      <c r="B15" s="121" t="str">
        <f>IF($E$1="f","Nombre d'enfants sous garde","Anzahl Kinder in Obhut")</f>
        <v>Anzahl Kinder in Obhut</v>
      </c>
      <c r="C15" s="130">
        <f>COUNTIF(F8:F11,"n1")</f>
        <v>0</v>
      </c>
    </row>
    <row r="16" spans="1:10" x14ac:dyDescent="0.25">
      <c r="A16" s="242" t="str">
        <f>Hauptblatt!C15</f>
        <v>n</v>
      </c>
      <c r="B16" s="121" t="str">
        <f>IF($E$1="f","Communauté de ménage (o/n)","Wohngemeinschaft (j/n)")</f>
        <v>Wohngemeinschaft (j/n)</v>
      </c>
      <c r="C16" s="242" t="str">
        <f>Hauptblatt!B15</f>
        <v>n</v>
      </c>
      <c r="E16" s="1" t="str">
        <f>IF(OR(AND(A16&lt;&gt;"n",A16&lt;&gt;"j",A16&lt;&gt;"o"),AND(C16&lt;&gt;"n",C16&lt;&gt;"j",C16&lt;&gt;"o")),IF($E$1="f","Entrée incorrecte!","Fehleingabe!"),"")</f>
        <v/>
      </c>
    </row>
    <row r="17" spans="1:6" x14ac:dyDescent="0.25">
      <c r="A17" s="120" t="s">
        <v>6</v>
      </c>
      <c r="B17" s="121" t="str">
        <f>IF($E$1="f","Date de la séparation","Trennungsdatum")</f>
        <v>Trennungsdatum</v>
      </c>
      <c r="C17" s="144">
        <f>Hauptblatt!H7</f>
        <v>0</v>
      </c>
      <c r="E17" s="1" t="str">
        <f>IF(C17&lt;&gt;"","",IF(OR(Grundlagen!C38&gt;0,Grundlagen!D38&gt;0),IF(Hilfsblatt!$E$1="f","remplir case","Feld ausfüllen"),IF(ISBLANK(C17),IF($E$1="f","pour année de la séparation","für Berechnung im Trennungsjahr"),"")))</f>
        <v/>
      </c>
    </row>
    <row r="18" spans="1:6" x14ac:dyDescent="0.25">
      <c r="A18" s="120" t="s">
        <v>6</v>
      </c>
      <c r="B18" s="121" t="str">
        <f>IF($E$1="f","Nombre de mois/année pour le calcul","Anzahl Monate/Jahr für Berechnung")</f>
        <v>Anzahl Monate/Jahr für Berechnung</v>
      </c>
      <c r="C18" s="145">
        <f>Hauptblatt!H9</f>
        <v>12</v>
      </c>
      <c r="E18" s="1" t="str">
        <f>IF($E$1="f",IF(A18&lt;&gt;"---","introduire uniquement dans la case à droite!",IF(C18=12,"calcul pour années complètes","nombre de mois de la séparation à la fin de l'année")),IF(A18&lt;&gt;"---","nur im Feld rechts eingeben!",IF(C18=12,"Berechnung für volle Jahre","Monate von Trennung bis Jahresende")))</f>
        <v>Berechnung für volle Jahre</v>
      </c>
    </row>
    <row r="19" spans="1:6" x14ac:dyDescent="0.25">
      <c r="A19" s="2"/>
      <c r="C19" s="23"/>
    </row>
    <row r="20" spans="1:6" ht="15.6" x14ac:dyDescent="0.3">
      <c r="A20" s="52"/>
      <c r="B20" s="53" t="str">
        <f>IF($E$1="f","2. Moyens disponibles","2. Verfügbare Mittel")</f>
        <v>2. Verfügbare Mittel</v>
      </c>
      <c r="C20" s="52"/>
      <c r="E20" s="4"/>
      <c r="F20" s="4"/>
    </row>
    <row r="21" spans="1:6" x14ac:dyDescent="0.25">
      <c r="A21" s="67">
        <f>Hauptblatt!C26</f>
        <v>1800</v>
      </c>
      <c r="B21" s="47" t="str">
        <f>IF($E$1="f","Revenu net","Nettoeinkommen")</f>
        <v>Nettoeinkommen</v>
      </c>
      <c r="C21" s="67">
        <f>Hauptblatt!B26</f>
        <v>10000</v>
      </c>
    </row>
    <row r="22" spans="1:6" x14ac:dyDescent="0.25">
      <c r="A22" s="67">
        <f>Hauptblatt!C27</f>
        <v>150</v>
      </c>
      <c r="B22" s="121" t="str">
        <f>IF($E$1="f","13ème salaire","13. Monatslohn")</f>
        <v>13. Monatslohn</v>
      </c>
      <c r="C22" s="67">
        <f>Hauptblatt!B27</f>
        <v>833.33333333333337</v>
      </c>
    </row>
    <row r="23" spans="1:6" x14ac:dyDescent="0.25">
      <c r="A23" s="67">
        <f>SUMIF(Hauptblatt!D18:G18,"n2",Hauptblatt!D30:G30)</f>
        <v>500</v>
      </c>
      <c r="B23" s="121" t="str">
        <f>IF($E$1="f","Allocations familiales","Familienzulagen")</f>
        <v>Familienzulagen</v>
      </c>
      <c r="C23" s="67">
        <f>SUMIF(Hauptblatt!D18:G18,"n1",Hauptblatt!D30:G30)</f>
        <v>0</v>
      </c>
    </row>
    <row r="24" spans="1:6" x14ac:dyDescent="0.25">
      <c r="A24" s="67">
        <f>Hauptblatt!C31</f>
        <v>0</v>
      </c>
      <c r="B24" s="121" t="str">
        <f>IF($E$1="f","All. familiales autres enfants","Familienzulagen andere Kinder")</f>
        <v>Familienzulagen andere Kinder</v>
      </c>
      <c r="C24" s="67">
        <f>Hauptblatt!B31</f>
        <v>0</v>
      </c>
    </row>
    <row r="25" spans="1:6" x14ac:dyDescent="0.25">
      <c r="A25" s="67">
        <f>Hauptblatt!C28</f>
        <v>0</v>
      </c>
      <c r="B25" s="47" t="str">
        <f>IF($E$1="f","Revenu accessoire","Zusatzeinkommen")</f>
        <v>Zusatzeinkommen</v>
      </c>
      <c r="C25" s="67">
        <f>Hauptblatt!B28</f>
        <v>0</v>
      </c>
    </row>
    <row r="26" spans="1:6" x14ac:dyDescent="0.25">
      <c r="A26" s="67">
        <f>Hauptblatt!C29</f>
        <v>0</v>
      </c>
      <c r="B26" s="121" t="str">
        <f>IF($E$1="f","Revenu autre activité lucrative","Nebenerwerbseinkommen")</f>
        <v>Nebenerwerbseinkommen</v>
      </c>
      <c r="C26" s="67">
        <f>Hauptblatt!B29</f>
        <v>0</v>
      </c>
    </row>
    <row r="27" spans="1:6" x14ac:dyDescent="0.25">
      <c r="A27" s="67">
        <f>SUM(Hauptblatt!C32:'Hauptblatt'!G32)</f>
        <v>0</v>
      </c>
      <c r="B27" s="121" t="str">
        <f>IF($E$1="f","Rente AVS/AI","Rente AHV/IV")</f>
        <v>Rente AHV/IV</v>
      </c>
      <c r="C27" s="67">
        <f>Hauptblatt!B32</f>
        <v>0</v>
      </c>
    </row>
    <row r="28" spans="1:6" x14ac:dyDescent="0.25">
      <c r="A28" s="67">
        <f>SUM(Hauptblatt!C33:'Hauptblatt'!G33)</f>
        <v>0</v>
      </c>
      <c r="B28" s="121" t="str">
        <f>IF($E$1="f","Rente prévoyance professionnelle","Rente berufliche Vorsorge")</f>
        <v>Rente berufliche Vorsorge</v>
      </c>
      <c r="C28" s="67">
        <f>Hauptblatt!B33</f>
        <v>0</v>
      </c>
      <c r="E28" s="1" t="str">
        <f>IF(OR(A28&lt;&gt;0,C28&lt;&gt;0,),IF($E$1="f","contrôler inscription impôt fédéral direct","Steuerangaben direkte Bundessteuer überprüfen"),"")</f>
        <v/>
      </c>
    </row>
    <row r="29" spans="1:6" x14ac:dyDescent="0.25">
      <c r="A29" s="67">
        <f>SUM(Hauptblatt!C34:'Hauptblatt'!G34)</f>
        <v>0</v>
      </c>
      <c r="B29" s="121" t="str">
        <f>IF($E$1="f","Rente assurance-vie","Rente Lebensversicherung")</f>
        <v>Rente Lebensversicherung</v>
      </c>
      <c r="C29" s="67">
        <f>Hauptblatt!B34</f>
        <v>0</v>
      </c>
    </row>
    <row r="30" spans="1:6" x14ac:dyDescent="0.25">
      <c r="A30" s="67">
        <f>SUM(Hauptblatt!C35:'Hauptblatt'!G35)</f>
        <v>0</v>
      </c>
      <c r="B30" s="122" t="str">
        <f>IF($E$1="f","Revenu de la fortune","Vermögensertrag")</f>
        <v>Vermögensertrag</v>
      </c>
      <c r="C30" s="67">
        <f>Hauptblatt!B35</f>
        <v>0</v>
      </c>
    </row>
    <row r="31" spans="1:6" x14ac:dyDescent="0.25">
      <c r="A31" s="67">
        <f>SUM(Hauptblatt!C36:'Hauptblatt'!G36)</f>
        <v>0</v>
      </c>
      <c r="B31" s="122" t="str">
        <f>IF($E$1="f","Contributions d'entretien provenant de tiers","Unterhaltsbeiträge von Dritten")</f>
        <v>Unterhaltsbeiträge von Dritten</v>
      </c>
      <c r="C31" s="67">
        <f>Hauptblatt!B36</f>
        <v>0</v>
      </c>
    </row>
    <row r="32" spans="1:6" x14ac:dyDescent="0.25">
      <c r="A32" s="11">
        <f>SUM(Hauptblatt!D26:G29)</f>
        <v>0</v>
      </c>
      <c r="B32" s="204" t="str">
        <f>IF($E$1="f","Revenu enfants","Einkommen Kinder")</f>
        <v>Einkommen Kinder</v>
      </c>
      <c r="C32" s="11"/>
    </row>
    <row r="33" spans="1:9" ht="13.8" thickBot="1" x14ac:dyDescent="0.3">
      <c r="A33" s="11">
        <f>SUM(Hauptblatt!C37:'Hauptblatt'!G39)</f>
        <v>0</v>
      </c>
      <c r="B33" s="124" t="str">
        <f>IF(Hauptblatt!A37="","",IF($E$1="f","Autre revenu","Weiteres Einkommen"))</f>
        <v/>
      </c>
      <c r="C33" s="11">
        <f>SUM(Hauptblatt!B37:'Hauptblatt'!B39)</f>
        <v>0</v>
      </c>
    </row>
    <row r="34" spans="1:9" x14ac:dyDescent="0.25">
      <c r="A34" s="62">
        <f>SUM(A21:A33)</f>
        <v>2450</v>
      </c>
      <c r="B34" s="44" t="s">
        <v>0</v>
      </c>
      <c r="C34" s="62">
        <f>SUM(C21:C33)</f>
        <v>10833.333333333334</v>
      </c>
      <c r="E34" s="2"/>
    </row>
    <row r="35" spans="1:9" x14ac:dyDescent="0.25">
      <c r="A35" s="23"/>
      <c r="B35" s="54"/>
      <c r="C35" s="23"/>
      <c r="E35" s="2"/>
    </row>
    <row r="36" spans="1:9" ht="15.6" x14ac:dyDescent="0.3">
      <c r="A36" s="23"/>
      <c r="B36" s="53" t="str">
        <f>IF($E$1="f","3. Minimum vital","3. Grundbedarf")</f>
        <v>3. Grundbedarf</v>
      </c>
      <c r="C36" s="23"/>
      <c r="E36" s="2"/>
    </row>
    <row r="37" spans="1:9" x14ac:dyDescent="0.25">
      <c r="A37" s="11">
        <f>Hauptblatt!C45</f>
        <v>1350</v>
      </c>
      <c r="B37" s="47" t="str">
        <f>IF($E$1="f","Montant de base","Grundbetrag")</f>
        <v>Grundbetrag</v>
      </c>
      <c r="C37" s="11">
        <f>Hauptblatt!B45</f>
        <v>1200</v>
      </c>
      <c r="D37" s="5"/>
    </row>
    <row r="38" spans="1:9" x14ac:dyDescent="0.25">
      <c r="A38" s="11">
        <f>SUM(Hauptblatt!D46:G46)+SUM(Hauptblatt!D47:G47)</f>
        <v>1000</v>
      </c>
      <c r="B38" s="47" t="str">
        <f>IF($E$1="f","Supplément pour enfants","Zuschlag für Kinder")</f>
        <v>Zuschlag für Kinder</v>
      </c>
      <c r="C38" s="11">
        <f>Hauptblatt!B46</f>
        <v>0</v>
      </c>
      <c r="D38" s="5"/>
    </row>
    <row r="39" spans="1:9" x14ac:dyDescent="0.25">
      <c r="A39" s="55">
        <f>Hauptblatt!C48</f>
        <v>1600</v>
      </c>
      <c r="B39" s="47" t="str">
        <f>IF($E$1="f","Frais de bail/hypothèque","Miete/Hypothekarzins")</f>
        <v>Miete/Hypothekarzins</v>
      </c>
      <c r="C39" s="55">
        <f>Hauptblatt!B48</f>
        <v>1400</v>
      </c>
      <c r="D39" s="5"/>
      <c r="E39" s="1" t="str">
        <f>IF(OR(ISERR(C39),(ISERR(A39))),IF($E$1="f","entrée obligatoire","Eintrag obligatorisch"),"")</f>
        <v/>
      </c>
    </row>
    <row r="40" spans="1:9" x14ac:dyDescent="0.25">
      <c r="A40" s="55">
        <f>Hauptblatt!C49</f>
        <v>200</v>
      </c>
      <c r="B40" s="125" t="str">
        <f>IF($E$1="f","Frais de logement accessoires","Nebenkosten")</f>
        <v>Nebenkosten</v>
      </c>
      <c r="C40" s="55">
        <f>Hauptblatt!B49</f>
        <v>200</v>
      </c>
      <c r="D40" s="5"/>
    </row>
    <row r="41" spans="1:9" x14ac:dyDescent="0.25">
      <c r="A41" s="55">
        <f>Hauptblatt!C51</f>
        <v>0</v>
      </c>
      <c r="B41" s="125" t="str">
        <f>IF($E$1="f","./. Contributions de tiers","./. Wohnbeiträge von Dritten")</f>
        <v>./. Wohnbeiträge von Dritten</v>
      </c>
      <c r="C41" s="55">
        <f>Hauptblatt!B51</f>
        <v>0</v>
      </c>
      <c r="D41" s="5"/>
      <c r="E41" s="1" t="str">
        <f>IF($E$1="f","enfants avec propre revenu ou contribution d'entretien","Kinder mit eigenem Einkommen oder Unterhaltsbeitrag")</f>
        <v>Kinder mit eigenem Einkommen oder Unterhaltsbeitrag</v>
      </c>
    </row>
    <row r="42" spans="1:9" x14ac:dyDescent="0.25">
      <c r="A42" s="67">
        <f>Hauptblatt!C52</f>
        <v>430</v>
      </c>
      <c r="B42" s="47" t="str">
        <f>IF($E$1="f","Cotisations assurance-maladie adultes","Krankenversicherungsprämien Erwachsene")</f>
        <v>Krankenversicherungsprämien Erwachsene</v>
      </c>
      <c r="C42" s="67">
        <f>Hauptblatt!B52</f>
        <v>400</v>
      </c>
      <c r="D42" s="5"/>
      <c r="E42" s="1" t="str">
        <f>IF(OR(ISERR(C42),(ISERR(A42))),IF($E$1="f","entrée obligatoire","Eintrag obligatorisch"),"")</f>
        <v/>
      </c>
    </row>
    <row r="43" spans="1:9" x14ac:dyDescent="0.25">
      <c r="A43" s="67">
        <f>SUM(Hauptblatt!D53:G53)</f>
        <v>200</v>
      </c>
      <c r="B43" s="203" t="str">
        <f>IF($E$1="f","Cotisations assurance-maladie enfants","Krankenversicherungsprämien Kinder")</f>
        <v>Krankenversicherungsprämien Kinder</v>
      </c>
      <c r="C43" s="67">
        <f>Hauptblatt!B53</f>
        <v>0</v>
      </c>
      <c r="D43" s="5"/>
    </row>
    <row r="44" spans="1:9" x14ac:dyDescent="0.25">
      <c r="A44" s="55">
        <f>SUM(Hauptblatt!C54:'Hauptblatt'!G54)</f>
        <v>100</v>
      </c>
      <c r="B44" s="202" t="str">
        <f>IF($E$1="f","Télécommunications/assurance mobilière","Telekommunikation/Mobiliarversicherung")</f>
        <v>Telekommunikation/Mobiliarversicherung</v>
      </c>
      <c r="C44" s="55">
        <f>Hauptblatt!B54</f>
        <v>100</v>
      </c>
      <c r="D44" s="5"/>
    </row>
    <row r="45" spans="1:9" x14ac:dyDescent="0.25">
      <c r="A45" s="67">
        <f>Hauptblatt!C55</f>
        <v>50</v>
      </c>
      <c r="B45" s="47" t="str">
        <f>IF($E$1="f","Trajets domicile - lieu de travail","Arbeitsweg")</f>
        <v>Arbeitsweg</v>
      </c>
      <c r="C45" s="67">
        <f>Hauptblatt!B55</f>
        <v>120</v>
      </c>
      <c r="D45" s="5"/>
    </row>
    <row r="46" spans="1:9" x14ac:dyDescent="0.25">
      <c r="A46" s="67">
        <f>Hauptblatt!C56</f>
        <v>45</v>
      </c>
      <c r="B46" s="47" t="str">
        <f>IF($E$1="f","Supplément pour repas pris à l'extérieur","Zuschlag für auswärtiges Essen")</f>
        <v>Zuschlag für auswärtiges Essen</v>
      </c>
      <c r="C46" s="67">
        <f>Hauptblatt!B56</f>
        <v>220</v>
      </c>
      <c r="D46" s="5"/>
    </row>
    <row r="47" spans="1:9" x14ac:dyDescent="0.25">
      <c r="A47" s="55">
        <f>Hauptblatt!C57</f>
        <v>0</v>
      </c>
      <c r="B47" s="47" t="str">
        <f>IF($E$1="f","Supplément profession","Berufszuschlag")</f>
        <v>Berufszuschlag</v>
      </c>
      <c r="C47" s="55">
        <f>Hauptblatt!B57</f>
        <v>0</v>
      </c>
      <c r="D47" s="5"/>
    </row>
    <row r="48" spans="1:9" x14ac:dyDescent="0.25">
      <c r="A48" s="213">
        <f>Hauptblatt!C58+SUM(Hauptblatt!D58:G58)</f>
        <v>744.86528521447394</v>
      </c>
      <c r="B48" s="47" t="str">
        <f>IF($E$1="f","Impôts courants","Laufende Steuern")</f>
        <v>Laufende Steuern</v>
      </c>
      <c r="C48" s="213">
        <f>Hauptblatt!B58</f>
        <v>689.9842708333332</v>
      </c>
      <c r="E48" s="1" t="str">
        <f>IF(OR(ISERROR(SteuernEF2),ISERROR(SteuernEM2)),IF($E$1="f","calcul automatique des impôts désactivé","Steuerberechnung ausgeschaltet"),IF(AND(SteuernEF1=SteuernEF2,SteuernEM2=SteuernEM1),IF($E$1="f","calcul approximatif ","annäherungsweise berechnet"),IF($E$1="f","calcul automatique des impôts désactivé","Steuerberechnung ausgeschaltet")))</f>
        <v>Steuerberechnung ausgeschaltet</v>
      </c>
      <c r="H48" s="212" t="str">
        <f>IF(G49&gt;0,"n2","")</f>
        <v>n2</v>
      </c>
      <c r="I48" s="212" t="str">
        <f>IF(G49&gt;0,"n1","")</f>
        <v>n1</v>
      </c>
    </row>
    <row r="49" spans="1:9" x14ac:dyDescent="0.25">
      <c r="A49" s="131"/>
      <c r="B49" s="212" t="str">
        <f>IF(C67&lt;0,IF($E$1="f","(Cas de déficit)","(Mangelfall)"),"")</f>
        <v/>
      </c>
      <c r="C49" s="131"/>
      <c r="F49" s="4" t="str">
        <f>IF($E$1="f","total des deux :","total beide:")</f>
        <v>total beide:</v>
      </c>
      <c r="G49" s="214">
        <f>SUM(SteuernEF1,SteuernEM1)</f>
        <v>1434.8495560478073</v>
      </c>
      <c r="H49" s="215">
        <f>IF(G49=0,"",SteuernEF1/G49)</f>
        <v>0.51912430963574552</v>
      </c>
      <c r="I49" s="215">
        <f>IF(G49=0,"",SteuernEM1/G49)</f>
        <v>0.48087569036425437</v>
      </c>
    </row>
    <row r="50" spans="1:9" x14ac:dyDescent="0.25">
      <c r="A50" s="55">
        <f>Hauptblatt!C59</f>
        <v>0</v>
      </c>
      <c r="B50" s="47" t="str">
        <f>IF($E$1="f","Remboursement de dettes","Schuldentilgung")</f>
        <v>Schuldentilgung</v>
      </c>
      <c r="C50" s="55">
        <f>Hauptblatt!B59</f>
        <v>0</v>
      </c>
    </row>
    <row r="51" spans="1:9" x14ac:dyDescent="0.25">
      <c r="A51" s="67">
        <f>SUM(Hauptblatt!D60:G60)</f>
        <v>200</v>
      </c>
      <c r="B51" s="123" t="str">
        <f>IF($E$1="f","Garde des enfants par de tierces personnes","Drittbetreuung Kinder")</f>
        <v>Drittbetreuung Kinder</v>
      </c>
      <c r="C51" s="67"/>
      <c r="D51" s="5"/>
    </row>
    <row r="52" spans="1:9" x14ac:dyDescent="0.25">
      <c r="A52" s="55">
        <f>SUM(Hauptblatt!D55:G56,Hauptblatt!D61:G61)</f>
        <v>180</v>
      </c>
      <c r="B52" s="204" t="str">
        <f>IF($E$1="f","Autres dépenses spéciales pour enfants","Weitere besondere Auslagen für Kinder")</f>
        <v>Weitere besondere Auslagen für Kinder</v>
      </c>
      <c r="C52" s="55">
        <f>Hauptblatt!B62</f>
        <v>0</v>
      </c>
      <c r="D52" s="5"/>
    </row>
    <row r="53" spans="1:9" x14ac:dyDescent="0.25">
      <c r="A53" s="67">
        <f>Hauptblatt!C66</f>
        <v>601.54011441549267</v>
      </c>
      <c r="B53" s="197" t="str">
        <f>IF($E$1="f","Prévoyance privée/assurances-vie","Private Vorsorge/Lebensversicherungen")</f>
        <v>Private Vorsorge/Lebensversicherungen</v>
      </c>
      <c r="C53" s="67">
        <f>Hauptblatt!B66</f>
        <v>0</v>
      </c>
      <c r="D53" s="5"/>
      <c r="E53" s="5"/>
      <c r="F53" s="4" t="str">
        <f>CONCATENATE(IF($E$1="f","année de naissance ","Jahrgang "),Hauptblatt!C11,":")</f>
        <v>Jahrgang Franziska:</v>
      </c>
      <c r="G53" s="233">
        <f>Hauptblatt!C12</f>
        <v>1978</v>
      </c>
    </row>
    <row r="54" spans="1:9" x14ac:dyDescent="0.25">
      <c r="A54" s="67">
        <f>Hauptblatt!C67</f>
        <v>0</v>
      </c>
      <c r="B54" s="197" t="str">
        <f>IF($E$1="f","Contributions d'entretien pour des tiers","Unterhaltsbeiträge an Dritte")</f>
        <v>Unterhaltsbeiträge an Dritte</v>
      </c>
      <c r="C54" s="67">
        <f>Hauptblatt!B67</f>
        <v>0</v>
      </c>
    </row>
    <row r="55" spans="1:9" x14ac:dyDescent="0.25">
      <c r="A55" s="67" t="str">
        <f>Hauptblatt!C68</f>
        <v/>
      </c>
      <c r="B55" s="197" t="str">
        <f>IF($E$1="f","Allocations familiales transférées","Weitergeleitete Familienzulagen")</f>
        <v>Weitergeleitete Familienzulagen</v>
      </c>
      <c r="C55" s="67" t="str">
        <f>Hauptblatt!B68</f>
        <v/>
      </c>
    </row>
    <row r="56" spans="1:9" x14ac:dyDescent="0.25">
      <c r="A56" s="67">
        <f>Hauptblatt!C63</f>
        <v>0</v>
      </c>
      <c r="B56" s="205" t="str">
        <f>IF($E$1="f","Cotisations d'adhésion associations prof.","Beiträge an Berufsverbände")</f>
        <v>Beiträge an Berufsverbände</v>
      </c>
      <c r="C56" s="67">
        <f>Hauptblatt!B63</f>
        <v>0</v>
      </c>
      <c r="D56" s="5"/>
    </row>
    <row r="57" spans="1:9" x14ac:dyDescent="0.25">
      <c r="A57" s="67">
        <f>Hauptblatt!C64</f>
        <v>0</v>
      </c>
      <c r="B57" s="197" t="str">
        <f>IF($E$1="f","Formation continue","Weiterbildung")</f>
        <v>Weiterbildung</v>
      </c>
      <c r="C57" s="67">
        <f>Hauptblatt!B64</f>
        <v>0</v>
      </c>
    </row>
    <row r="58" spans="1:9" x14ac:dyDescent="0.25">
      <c r="A58" s="67">
        <f>SUM(Hauptblatt!C65:'Hauptblatt'!G65)</f>
        <v>0</v>
      </c>
      <c r="B58" s="197" t="str">
        <f>IF($E$1="f","Frais de maladie spéciaux","Besondere Krankheitskosten")</f>
        <v>Besondere Krankheitskosten</v>
      </c>
      <c r="C58" s="67">
        <f>Hauptblatt!B65</f>
        <v>0</v>
      </c>
    </row>
    <row r="59" spans="1:9" x14ac:dyDescent="0.25">
      <c r="A59" s="55">
        <f>SUM(Hauptblatt!C69:'Hauptblatt'!G69)</f>
        <v>0</v>
      </c>
      <c r="B59" s="197" t="str">
        <f>IF(Hauptblatt!A69="","",Hauptblatt!A69)</f>
        <v/>
      </c>
      <c r="C59" s="55">
        <f>Hauptblatt!B69</f>
        <v>0</v>
      </c>
    </row>
    <row r="60" spans="1:9" x14ac:dyDescent="0.25">
      <c r="A60" s="55">
        <f>SUM(Hauptblatt!C70:'Hauptblatt'!G70)</f>
        <v>0</v>
      </c>
      <c r="B60" s="197" t="str">
        <f>IF(Hauptblatt!A70="","",Hauptblatt!A70)</f>
        <v/>
      </c>
      <c r="C60" s="55">
        <f>Hauptblatt!B70</f>
        <v>0</v>
      </c>
    </row>
    <row r="61" spans="1:9" ht="13.8" thickBot="1" x14ac:dyDescent="0.3">
      <c r="A61" s="55">
        <f>SUM(Hauptblatt!C71:'Hauptblatt'!G71)</f>
        <v>0</v>
      </c>
      <c r="B61" s="197" t="str">
        <f>IF(Hauptblatt!A71="","",Hauptblatt!A71)</f>
        <v/>
      </c>
      <c r="C61" s="55">
        <f>Hauptblatt!B71</f>
        <v>0</v>
      </c>
      <c r="D61" s="5"/>
    </row>
    <row r="62" spans="1:9" x14ac:dyDescent="0.25">
      <c r="A62" s="62">
        <f>SUM(A37:A61)</f>
        <v>6701.4053996299672</v>
      </c>
      <c r="B62" s="44" t="s">
        <v>0</v>
      </c>
      <c r="C62" s="62">
        <f>SUM(C37:C61)</f>
        <v>4329.9842708333335</v>
      </c>
      <c r="E62" s="2"/>
    </row>
    <row r="63" spans="1:9" x14ac:dyDescent="0.25">
      <c r="A63" s="2"/>
      <c r="B63" s="2"/>
      <c r="C63" s="23"/>
      <c r="E63" s="2"/>
    </row>
    <row r="64" spans="1:9" ht="15.6" x14ac:dyDescent="0.3">
      <c r="A64" s="2"/>
      <c r="B64" s="56" t="str">
        <f>IF($E$1="f","4. Différence","4. Differenz")</f>
        <v>4. Differenz</v>
      </c>
      <c r="C64" s="23"/>
      <c r="E64" s="2"/>
    </row>
    <row r="65" spans="1:8" x14ac:dyDescent="0.25">
      <c r="A65" s="2"/>
      <c r="B65" s="5" t="str">
        <f>IF($E$1="f","Revenu total","Gesamteinkommen")</f>
        <v>Gesamteinkommen</v>
      </c>
      <c r="C65" s="63">
        <f>SUM(A34,C34)</f>
        <v>13283.333333333334</v>
      </c>
    </row>
    <row r="66" spans="1:8" ht="13.8" thickBot="1" x14ac:dyDescent="0.3">
      <c r="A66" s="2"/>
      <c r="B66" s="5" t="str">
        <f>IF($E$1="f","Minimum vital total","Gesamtgrundbedarf")</f>
        <v>Gesamtgrundbedarf</v>
      </c>
      <c r="C66" s="63">
        <f>SUM(A62,C62)</f>
        <v>11031.389670463301</v>
      </c>
    </row>
    <row r="67" spans="1:8" x14ac:dyDescent="0.25">
      <c r="A67" s="2"/>
      <c r="B67" s="57" t="str">
        <f>IF(ISERROR(C67),IF($E$1="f","Différence","Differenz"),CONCATENATE(IF($E$1="f","Différence","Differenz")," (",IF(C67&lt;0,IF($E$1="f","déficit","Manko"),IF($E$1="f","surplus","Überschuss")),")"))</f>
        <v>Differenz (Überschuss)</v>
      </c>
      <c r="C67" s="62">
        <f>C65-C66</f>
        <v>2251.9436628700332</v>
      </c>
      <c r="E67" s="2"/>
    </row>
    <row r="68" spans="1:8" x14ac:dyDescent="0.25">
      <c r="A68" s="2"/>
      <c r="B68" s="57"/>
      <c r="C68" s="49"/>
      <c r="E68" s="2"/>
    </row>
    <row r="69" spans="1:8" ht="13.8" thickBot="1" x14ac:dyDescent="0.3">
      <c r="A69" s="2"/>
      <c r="B69" s="59" t="str">
        <f>IF($E$1="f","Epargne,attribution préalable (francs)","Sparquote, Vorabzuteilung (Franken)")</f>
        <v>Sparquote, Vorabzuteilung (Franken)</v>
      </c>
      <c r="C69" s="92">
        <f>SUM(C70:C71)</f>
        <v>0</v>
      </c>
      <c r="D69" s="90"/>
      <c r="E69" s="90"/>
      <c r="F69" s="86"/>
    </row>
    <row r="70" spans="1:8" x14ac:dyDescent="0.25">
      <c r="A70" s="2"/>
      <c r="B70" s="87" t="str">
        <f>CONCATENATE(Hauptblatt!C11,IF($E$1="f"," / enfants"," / Kinder"))</f>
        <v>Franziska / Kinder</v>
      </c>
      <c r="C70" s="88">
        <f>-SUM(Hauptblatt!C82,Hauptblatt!C84:G84)</f>
        <v>0</v>
      </c>
      <c r="D70" s="90"/>
      <c r="E70" s="2"/>
      <c r="F70" s="128"/>
    </row>
    <row r="71" spans="1:8" x14ac:dyDescent="0.25">
      <c r="A71" s="2"/>
      <c r="B71" s="87" t="str">
        <f>Hauptblatt!B11</f>
        <v>Martin</v>
      </c>
      <c r="C71" s="88">
        <f>-SUM(Hauptblatt!B82,Hauptblatt!B84)</f>
        <v>0</v>
      </c>
      <c r="D71" s="90"/>
      <c r="E71" s="2"/>
      <c r="F71" s="128"/>
    </row>
    <row r="72" spans="1:8" x14ac:dyDescent="0.25">
      <c r="A72" s="2"/>
      <c r="B72" s="87"/>
      <c r="C72" s="89"/>
      <c r="D72" s="90"/>
      <c r="E72" s="90"/>
      <c r="F72" s="90"/>
    </row>
    <row r="73" spans="1:8" ht="13.8" thickBot="1" x14ac:dyDescent="0.3">
      <c r="A73" s="2"/>
      <c r="B73" s="91" t="str">
        <f>IF($E$1="f","Cote d'entretien (francs)","Unterhaltsquote (Franken)")</f>
        <v>Unterhaltsquote (Franken)</v>
      </c>
      <c r="C73" s="92">
        <f>IF(C69=0,C67,C67-C69)</f>
        <v>2251.9436628700332</v>
      </c>
      <c r="D73" s="90"/>
      <c r="E73" s="90"/>
      <c r="F73" s="90"/>
      <c r="G73" s="164" t="str">
        <f>IF(A15&gt;0,"",CONCATENATE(Hauptblatt!C11,IF($E$1="f"," surplus avant séparation:"," Überschuss vor Trennung:")))</f>
        <v/>
      </c>
    </row>
    <row r="74" spans="1:8" x14ac:dyDescent="0.25">
      <c r="A74" s="2"/>
      <c r="B74" t="str">
        <f>CONCATENATE(IF($E$1="f","Part ","Anteil "),Hauptblatt!C11,IF($E$1="f"," / enfants"," / Kinder"))</f>
        <v>Anteil Franziska / Kinder</v>
      </c>
      <c r="C74" s="88">
        <f>SUM(Hauptblatt!C91:G91)</f>
        <v>1501.2957752466891</v>
      </c>
      <c r="D74" s="90"/>
      <c r="E74" s="244">
        <f>C74/C73</f>
        <v>0.66666666666666685</v>
      </c>
      <c r="F74" s="86"/>
      <c r="G74" s="210" t="str">
        <f>IF(G73="","",IF($E$1="f","inconnu","unbekannt"))</f>
        <v/>
      </c>
      <c r="H74" s="1" t="str">
        <f>IF(C74=G74,"Plafond","")</f>
        <v/>
      </c>
    </row>
    <row r="75" spans="1:8" x14ac:dyDescent="0.25">
      <c r="A75" s="2"/>
      <c r="B75" s="87" t="str">
        <f>CONCATENATE(IF($E$1="f","Part ","Anteil "),Hauptblatt!B11)</f>
        <v>Anteil Martin</v>
      </c>
      <c r="C75" s="93">
        <f>C73-C74</f>
        <v>750.6478876233441</v>
      </c>
      <c r="D75" s="90"/>
      <c r="E75" s="244">
        <f>1-E74</f>
        <v>0.33333333333333315</v>
      </c>
      <c r="F75" s="86"/>
      <c r="G75" s="10" t="str">
        <f>IF(ISNUMBER(G74),IF($E$1="f","déficit:","Unterdeckung:"),"")</f>
        <v/>
      </c>
    </row>
    <row r="76" spans="1:8" x14ac:dyDescent="0.25">
      <c r="A76" s="2"/>
      <c r="B76" s="2"/>
      <c r="C76" s="2"/>
      <c r="G76" s="211" t="str">
        <f>IF(G75="","",IF(ISTEXT(G74),"",(IF(G74&gt;=0,G74-A79,""))))</f>
        <v/>
      </c>
    </row>
    <row r="77" spans="1:8" ht="15.6" x14ac:dyDescent="0.3">
      <c r="A77" s="52" t="str">
        <f>Hauptblatt!C11</f>
        <v>Franziska</v>
      </c>
      <c r="B77" s="53" t="str">
        <f>IF($E$1="f","5. Calcul de la contribution","5. Unterhaltsanspruch")</f>
        <v>5. Unterhaltsanspruch</v>
      </c>
      <c r="C77" s="52" t="str">
        <f>Hauptblatt!B11</f>
        <v>Martin</v>
      </c>
      <c r="E77" s="85" t="str">
        <f>CONCATENATE(Hauptblatt!C11," /")</f>
        <v>Franziska /</v>
      </c>
    </row>
    <row r="78" spans="1:8" x14ac:dyDescent="0.25">
      <c r="A78" s="63">
        <f>A62</f>
        <v>6701.4053996299672</v>
      </c>
      <c r="B78" s="46" t="str">
        <f>IF($E$1="f","Minimum vital","Grundbedarf")</f>
        <v>Grundbedarf</v>
      </c>
      <c r="C78" s="63">
        <f>C62</f>
        <v>4329.9842708333335</v>
      </c>
      <c r="D78" s="5"/>
      <c r="E78" s="156" t="str">
        <f>IF($E$1="f","enfants","Kinder")</f>
        <v>Kinder</v>
      </c>
      <c r="F78" s="235" t="str">
        <f>Hauptblatt!B11</f>
        <v>Martin</v>
      </c>
    </row>
    <row r="79" spans="1:8" x14ac:dyDescent="0.25">
      <c r="A79" s="148">
        <f>SUM(C70,C74)</f>
        <v>1501.2957752466891</v>
      </c>
      <c r="B79" s="46" t="str">
        <f>IF($E$1="f","Part de la différence","Anteil Differenz")</f>
        <v>Anteil Differenz</v>
      </c>
      <c r="C79" s="148">
        <f>SUM(C71,C75)</f>
        <v>750.6478876233441</v>
      </c>
      <c r="D79" s="5"/>
      <c r="E79" s="262">
        <f>A79/C67</f>
        <v>0.66666666666666685</v>
      </c>
      <c r="F79" s="262">
        <f>C79/C67</f>
        <v>0.3333333333333332</v>
      </c>
    </row>
    <row r="80" spans="1:8" ht="13.8" thickBot="1" x14ac:dyDescent="0.3">
      <c r="A80" s="11"/>
      <c r="B80" s="46"/>
      <c r="C80" s="11"/>
      <c r="D80" s="5"/>
    </row>
    <row r="81" spans="1:8" x14ac:dyDescent="0.25">
      <c r="A81" s="62">
        <f>SUM(A78:A79)</f>
        <v>8202.7011748766563</v>
      </c>
      <c r="B81" s="44" t="s">
        <v>0</v>
      </c>
      <c r="C81" s="62">
        <f>SUM(C78:C79)</f>
        <v>5080.6321584566776</v>
      </c>
    </row>
    <row r="82" spans="1:8" x14ac:dyDescent="0.25">
      <c r="A82" s="63">
        <f>0-A34</f>
        <v>-2450</v>
      </c>
      <c r="B82" s="46" t="str">
        <f>IF($E$1="f","moins revenu propre","abzüglich eigenes Einkommen")</f>
        <v>abzüglich eigenes Einkommen</v>
      </c>
      <c r="C82" s="63">
        <f>0-C34</f>
        <v>-10833.333333333334</v>
      </c>
    </row>
    <row r="83" spans="1:8" ht="13.8" thickBot="1" x14ac:dyDescent="0.3">
      <c r="A83" s="11"/>
      <c r="B83" s="54"/>
      <c r="C83" s="11"/>
      <c r="E83" s="2"/>
    </row>
    <row r="84" spans="1:8" s="59" customFormat="1" x14ac:dyDescent="0.25">
      <c r="A84" s="64">
        <f>A81+A82</f>
        <v>5752.7011748766563</v>
      </c>
      <c r="B84" s="58" t="str">
        <f>IF($E$1="f","Contribution d'entretien (solde)","Unterhaltsbeitrag (Saldo)")</f>
        <v>Unterhaltsbeitrag (Saldo)</v>
      </c>
      <c r="C84" s="64">
        <f>C81+C82</f>
        <v>-5752.7011748766563</v>
      </c>
      <c r="D84" s="1"/>
      <c r="E84" s="10" t="str">
        <f>IF(C84&lt;0,CONCATENATE(IF($E$1="f","paiement par ","Zahlung durch "),Hauptblatt!B11),CONCATENATE(IF($E$1="f","paiement par ","Zahlung durch "),Hauptblatt!C11))</f>
        <v>Zahlung durch Martin</v>
      </c>
      <c r="F84" s="1"/>
      <c r="G84" s="2"/>
      <c r="H84" s="2"/>
    </row>
    <row r="85" spans="1:8" s="59" customFormat="1" x14ac:dyDescent="0.25">
      <c r="A85" s="2"/>
      <c r="B85" s="58"/>
      <c r="C85" s="2"/>
      <c r="D85" s="1"/>
      <c r="E85" s="10"/>
      <c r="F85" s="1"/>
      <c r="G85" s="2"/>
      <c r="H85" s="2"/>
    </row>
    <row r="86" spans="1:8" s="59" customFormat="1" x14ac:dyDescent="0.25">
      <c r="A86" s="66">
        <f>Hauptblatt!D135</f>
        <v>2253.759937524675</v>
      </c>
      <c r="B86" s="58" t="str">
        <f>IF(C8="","",C8)</f>
        <v>Tanja</v>
      </c>
      <c r="C86" s="66">
        <f>-Hauptblatt!D135</f>
        <v>-2253.759937524675</v>
      </c>
      <c r="D86" s="127">
        <f>IF(A86&lt;0,C86/(SUM(A34,-A23,-A24))*100,A86/(SUM(C34,-C23,-C24))*100)</f>
        <v>20.803937884843151</v>
      </c>
      <c r="E86" s="85" t="str">
        <f>IF(A86&lt;0,CONCATENATE(IF($E$1="f","% revenu sans AF ","% Einkommen ohne FZ "),Hauptblatt!C11),CONCATENATE(IF($E$1="f","% revenu sans AF ","% Einkommen ohne FZ "),Hauptblatt!B11))</f>
        <v>% Einkommen ohne FZ Martin</v>
      </c>
      <c r="F86" s="4"/>
      <c r="G86" s="2"/>
      <c r="H86" s="2"/>
    </row>
    <row r="87" spans="1:8" s="59" customFormat="1" x14ac:dyDescent="0.25">
      <c r="A87" s="216">
        <f>Hauptblatt!E135</f>
        <v>2011.7656376903951</v>
      </c>
      <c r="B87" s="58" t="str">
        <f>IF(C9="","",C9)</f>
        <v>Sandro</v>
      </c>
      <c r="C87" s="216">
        <f>-Hauptblatt!E135</f>
        <v>-2011.7656376903951</v>
      </c>
      <c r="D87" s="127">
        <f>IF(A87&lt;0,C87/(SUM(A34,-A23,-A24))*100,A87/(SUM(C34,-C23,-C24))*100)</f>
        <v>18.570144347911338</v>
      </c>
      <c r="E87" s="85" t="str">
        <f>IF(A87&lt;0,CONCATENATE(IF($E$1="f","% revenu sans AF ","% Einkommen ohne FZ "),Hauptblatt!C11),CONCATENATE(IF($E$1="f","% revenu sans AF ","% Einkommen ohne FZ "),Hauptblatt!B11))</f>
        <v>% Einkommen ohne FZ Martin</v>
      </c>
      <c r="F87" s="1"/>
      <c r="G87" s="2"/>
      <c r="H87" s="2"/>
    </row>
    <row r="88" spans="1:8" s="59" customFormat="1" x14ac:dyDescent="0.25">
      <c r="A88" s="216">
        <f>Hauptblatt!F135</f>
        <v>0</v>
      </c>
      <c r="B88" s="58" t="str">
        <f>IF(C10="","",C10)</f>
        <v/>
      </c>
      <c r="C88" s="216">
        <f>-Hauptblatt!F135</f>
        <v>0</v>
      </c>
      <c r="D88" s="127">
        <f>IF(A88&lt;0,C88/(SUM(A34,-A23,-A24))*100,A88/(SUM(C34,-C23,-C24))*100)</f>
        <v>0</v>
      </c>
      <c r="E88" s="85" t="str">
        <f>IF(A88&lt;0,CONCATENATE(IF($E$1="f","% revenu sans AF ","% Einkommen ohne FZ "),Hauptblatt!C11),CONCATENATE(IF($E$1="f","% revenu sans AF ","% Einkommen ohne FZ "),Hauptblatt!B11))</f>
        <v>% Einkommen ohne FZ Martin</v>
      </c>
      <c r="F88" s="1"/>
      <c r="G88" s="2"/>
      <c r="H88" s="2"/>
    </row>
    <row r="89" spans="1:8" s="59" customFormat="1" x14ac:dyDescent="0.25">
      <c r="A89" s="216">
        <f>Hauptblatt!G135</f>
        <v>0</v>
      </c>
      <c r="B89" s="58" t="str">
        <f>IF(C11="","",C11)</f>
        <v/>
      </c>
      <c r="C89" s="216">
        <f>-Hauptblatt!G135</f>
        <v>0</v>
      </c>
      <c r="D89" s="127">
        <f>IF(A89&lt;0,C89/(SUM(A34,-A23,-A24))*100,A89/(SUM(C34,-C23,-C24))*100)</f>
        <v>0</v>
      </c>
      <c r="E89" s="85" t="str">
        <f>IF(A89&lt;0,CONCATENATE(IF($E$1="f","% revenu sans AF ","% Einkommen ohne FZ "),Hauptblatt!C11),CONCATENATE(IF($E$1="f","% revenu sans AF ","% Einkommen ohne FZ "),Hauptblatt!B11))</f>
        <v>% Einkommen ohne FZ Martin</v>
      </c>
      <c r="F89" s="1"/>
      <c r="G89" s="2"/>
      <c r="H89" s="2"/>
    </row>
    <row r="90" spans="1:8" s="59" customFormat="1" x14ac:dyDescent="0.25">
      <c r="A90" s="65">
        <f>C23</f>
        <v>0</v>
      </c>
      <c r="B90" s="60" t="str">
        <f>IF($E$1="f","allocations familiales","Familienzulagen")</f>
        <v>Familienzulagen</v>
      </c>
      <c r="C90" s="65">
        <f>-C23</f>
        <v>0</v>
      </c>
      <c r="D90" s="126"/>
      <c r="E90" s="126"/>
      <c r="F90" s="1"/>
      <c r="G90" s="2"/>
      <c r="H90" s="2"/>
    </row>
    <row r="91" spans="1:8" x14ac:dyDescent="0.25">
      <c r="A91" s="66">
        <f>Hauptblatt!C129</f>
        <v>1487.1755996615861</v>
      </c>
      <c r="B91" s="58" t="str">
        <f>IF(A91&lt;0,CONCATENATE(IF($E$1="f","Contribution personnelle ","persönlicher Unterhaltsbeitrag "),Hauptblatt!B11),CONCATENATE(IF($E$1="f","Contribution personnelle ","Persönlicher Unterhaltsbeitrag "),Hauptblatt!C11))</f>
        <v>Persönlicher Unterhaltsbeitrag Franziska</v>
      </c>
      <c r="C91" s="66">
        <f>-Hauptblatt!C129</f>
        <v>-1487.1755996615861</v>
      </c>
      <c r="D91" s="127">
        <f>IF(A91&lt;0,C91/(SUM(A34,-A23,-A24))*100,A91/(SUM(C34,-C23,-C24))*100)</f>
        <v>13.727774766106949</v>
      </c>
      <c r="E91" s="85" t="str">
        <f>IF(A91&lt;0,CONCATENATE(IF($E$1="f","% revenu sans AF ","% Einkommen ohne FZ "),Hauptblatt!C11),CONCATENATE(IF($E$1="f","% revenu sans AF ","% Einkommen ohne FZ "),Hauptblatt!B11))</f>
        <v>% Einkommen ohne FZ Martin</v>
      </c>
    </row>
    <row r="92" spans="1:8" hidden="1" x14ac:dyDescent="0.25"/>
    <row r="93" spans="1:8" ht="15.6" hidden="1" x14ac:dyDescent="0.3">
      <c r="A93" s="191" t="str">
        <f>A77</f>
        <v>Franziska</v>
      </c>
      <c r="B93" s="53" t="str">
        <f>IF($E$1="f","6. Assistance judiciaire","6. Unentgeltliche Rechtspflege")</f>
        <v>6. Unentgeltliche Rechtspflege</v>
      </c>
      <c r="C93" s="191" t="str">
        <f>C77</f>
        <v>Martin</v>
      </c>
      <c r="D93" s="85"/>
      <c r="E93" s="50" t="str">
        <f>IF($E$1="f","Total (sans CE)","Total (ohne UB)")</f>
        <v>Total (ohne UB)</v>
      </c>
      <c r="F93" s="85"/>
    </row>
    <row r="94" spans="1:8" hidden="1" x14ac:dyDescent="0.25">
      <c r="A94" s="192">
        <f>A34</f>
        <v>2450</v>
      </c>
      <c r="B94" s="193" t="str">
        <f>IF($E$1="f","Revenu selon chiffre 2","Einkommen gemäss Ziffer 2")</f>
        <v>Einkommen gemäss Ziffer 2</v>
      </c>
      <c r="C94" s="192">
        <f>C34</f>
        <v>10833.333333333334</v>
      </c>
      <c r="D94" s="85"/>
      <c r="E94" s="194"/>
      <c r="F94" s="85"/>
    </row>
    <row r="95" spans="1:8" ht="13.8" hidden="1" thickBot="1" x14ac:dyDescent="0.3">
      <c r="A95" s="195">
        <f>IF(A84&gt;0,A84,"---")</f>
        <v>5752.7011748766563</v>
      </c>
      <c r="B95" s="193" t="str">
        <f>IF($E$1="f","Contribution d'entretien reçue","Erhaltener Unterhaltsbeitrag")</f>
        <v>Erhaltener Unterhaltsbeitrag</v>
      </c>
      <c r="C95" s="195" t="str">
        <f>IF(C84&gt;0,C84,"---")</f>
        <v>---</v>
      </c>
      <c r="D95" s="85"/>
      <c r="E95" s="85"/>
      <c r="F95" s="85"/>
    </row>
    <row r="96" spans="1:8" hidden="1" x14ac:dyDescent="0.25">
      <c r="A96" s="62">
        <f>SUM(A94:A95)</f>
        <v>8202.7011748766563</v>
      </c>
      <c r="B96" s="196" t="str">
        <f>IF($E$1="f","Total des moyens disponibles","Einkünfte total")</f>
        <v>Einkünfte total</v>
      </c>
      <c r="C96" s="62">
        <f>SUM(C94:C95)</f>
        <v>10833.333333333334</v>
      </c>
      <c r="D96" s="85"/>
      <c r="E96" s="57">
        <f>SUM(A96,C96)-SUM(A95,C95)</f>
        <v>13283.333333333332</v>
      </c>
      <c r="F96" s="85"/>
    </row>
    <row r="97" spans="1:6" hidden="1" x14ac:dyDescent="0.25">
      <c r="A97" s="55"/>
      <c r="B97" s="193"/>
      <c r="C97" s="55"/>
      <c r="D97" s="85"/>
      <c r="E97" s="85"/>
      <c r="F97" s="85"/>
    </row>
    <row r="98" spans="1:6" hidden="1" x14ac:dyDescent="0.25">
      <c r="A98" s="192">
        <f>A62</f>
        <v>6701.4053996299672</v>
      </c>
      <c r="B98" s="193" t="str">
        <f>IF($E$1="f","Minimum vital selon chiffre 3","Grundbedarf gemäss Ziffer 3")</f>
        <v>Grundbedarf gemäss Ziffer 3</v>
      </c>
      <c r="C98" s="192">
        <f>C62</f>
        <v>4329.9842708333335</v>
      </c>
      <c r="D98" s="85"/>
      <c r="E98" s="85"/>
      <c r="F98" s="85"/>
    </row>
    <row r="99" spans="1:6" hidden="1" x14ac:dyDescent="0.25">
      <c r="A99" s="192">
        <f>SUM(A37:A38)*0.3</f>
        <v>705</v>
      </c>
      <c r="B99" s="193" t="str">
        <f>IF($E$1="f","Supplément procès civil","Zivilprozessualer Zuschlag")</f>
        <v>Zivilprozessualer Zuschlag</v>
      </c>
      <c r="C99" s="192">
        <f>SUM(C37:C38)*0.3</f>
        <v>360</v>
      </c>
      <c r="D99" s="85"/>
      <c r="E99" s="85"/>
      <c r="F99" s="85"/>
    </row>
    <row r="100" spans="1:6" hidden="1" x14ac:dyDescent="0.25">
      <c r="A100" s="192" t="str">
        <f>IF(C95&gt;0,C95,"---")</f>
        <v>---</v>
      </c>
      <c r="B100" s="193" t="str">
        <f>IF($E$1="f","Contribution d'entretien payée","Bezahlter Unterhaltsbeitrag")</f>
        <v>Bezahlter Unterhaltsbeitrag</v>
      </c>
      <c r="C100" s="192">
        <f>IF(A95&gt;0,A95,"---")</f>
        <v>5752.7011748766563</v>
      </c>
      <c r="D100" s="85"/>
      <c r="E100" s="85"/>
      <c r="F100" s="85"/>
    </row>
    <row r="101" spans="1:6" hidden="1" x14ac:dyDescent="0.25">
      <c r="A101" s="55"/>
      <c r="B101" s="193" t="str">
        <f>IF($E$1="f","Médecine, hôpital, déménagement","Arzt, Heilmittel, Spital, Wohnungswechsel")</f>
        <v>Arzt, Heilmittel, Spital, Wohnungswechsel</v>
      </c>
      <c r="C101" s="55"/>
      <c r="D101" s="85"/>
      <c r="E101" s="85"/>
      <c r="F101" s="85"/>
    </row>
    <row r="102" spans="1:6" hidden="1" x14ac:dyDescent="0.25">
      <c r="A102" s="192">
        <f>-A44</f>
        <v>-100</v>
      </c>
      <c r="B102" s="193" t="str">
        <f>IF($E$1="f","./. Correction télécom/assurance mobilière","./. Korrektur Telecom/Mobiliarversicherung")</f>
        <v>./. Korrektur Telecom/Mobiliarversicherung</v>
      </c>
      <c r="C102" s="192">
        <f>-C44</f>
        <v>-100</v>
      </c>
      <c r="D102" s="85"/>
      <c r="E102" s="85"/>
      <c r="F102" s="85"/>
    </row>
    <row r="103" spans="1:6" hidden="1" x14ac:dyDescent="0.25">
      <c r="A103" s="192">
        <f>IF(A50="","",IF(A50="p.m.","",-A50))</f>
        <v>0</v>
      </c>
      <c r="B103" s="193" t="str">
        <f>IF($E$1="f","./. Correction remboursement de dettes","./. Korrektur Schuldentilgung")</f>
        <v>./. Korrektur Schuldentilgung</v>
      </c>
      <c r="C103" s="192">
        <f>IF(C50="","",IF(C50="p.m.","",-C50))</f>
        <v>0</v>
      </c>
      <c r="D103" s="85"/>
      <c r="E103" s="85"/>
      <c r="F103" s="85"/>
    </row>
    <row r="104" spans="1:6" hidden="1" x14ac:dyDescent="0.25">
      <c r="A104" s="192">
        <f>IF(A53="","",IF(A53="p.m.","",-A53))</f>
        <v>-601.54011441549267</v>
      </c>
      <c r="B104" s="193" t="str">
        <f>IF($E$1="f","./. Correction prévoyance privée, ass. vie","./. Korrektur private Vorsorge, Lebensvers.")</f>
        <v>./. Korrektur private Vorsorge, Lebensvers.</v>
      </c>
      <c r="C104" s="192">
        <f>IF(C53="","",IF(C53="p.m.","",-C53))</f>
        <v>0</v>
      </c>
      <c r="D104" s="85"/>
      <c r="E104" s="85"/>
      <c r="F104" s="85"/>
    </row>
    <row r="105" spans="1:6" hidden="1" x14ac:dyDescent="0.25">
      <c r="A105" s="55"/>
      <c r="B105" s="193" t="str">
        <f>IF($E$1="f","./. Autres corrections","./. Weitere Korrekturen")</f>
        <v>./. Weitere Korrekturen</v>
      </c>
      <c r="C105" s="55"/>
      <c r="D105" s="85"/>
      <c r="E105" s="85"/>
      <c r="F105" s="85"/>
    </row>
    <row r="106" spans="1:6" ht="13.8" hidden="1" thickBot="1" x14ac:dyDescent="0.3">
      <c r="A106" s="55"/>
      <c r="B106" s="193"/>
      <c r="C106" s="55"/>
      <c r="D106" s="85"/>
      <c r="E106" s="85"/>
      <c r="F106" s="85"/>
    </row>
    <row r="107" spans="1:6" hidden="1" x14ac:dyDescent="0.25">
      <c r="A107" s="62">
        <f>SUM(A98:A106)</f>
        <v>6704.8652852144742</v>
      </c>
      <c r="B107" s="196" t="str">
        <f>IF($E$1="f","Minimum nécessaire pour procéder","Zivilprozessualer Zwangsbedarf")</f>
        <v>Zivilprozessualer Zwangsbedarf</v>
      </c>
      <c r="C107" s="62">
        <f>SUM(C98:C106)</f>
        <v>10342.685445709991</v>
      </c>
      <c r="D107" s="85"/>
      <c r="E107" s="57">
        <f>SUM(A107,C107)-SUM(A100,C100)</f>
        <v>11294.849556047808</v>
      </c>
      <c r="F107" s="85"/>
    </row>
    <row r="108" spans="1:6" ht="13.8" hidden="1" thickBot="1" x14ac:dyDescent="0.3">
      <c r="A108" s="55"/>
      <c r="B108" s="197"/>
      <c r="C108" s="55"/>
      <c r="D108" s="85"/>
      <c r="E108" s="85"/>
      <c r="F108" s="85"/>
    </row>
    <row r="109" spans="1:6" hidden="1" x14ac:dyDescent="0.25">
      <c r="A109" s="198">
        <f>A96-A107</f>
        <v>1497.8358896621821</v>
      </c>
      <c r="B109" s="199" t="str">
        <f>IF($E$1="f","Surplus/déficit par mois","Überschuss/Manko im Monat")</f>
        <v>Überschuss/Manko im Monat</v>
      </c>
      <c r="C109" s="198">
        <f>C96-C107</f>
        <v>490.64788762334319</v>
      </c>
      <c r="D109" s="2"/>
      <c r="E109" s="200">
        <f>E96-E107</f>
        <v>1988.4837772855244</v>
      </c>
      <c r="F109" s="85"/>
    </row>
    <row r="110" spans="1:6" hidden="1" x14ac:dyDescent="0.25">
      <c r="A110" s="201">
        <f>A109*12</f>
        <v>17974.030675946186</v>
      </c>
      <c r="B110" s="199" t="str">
        <f>IF($E$1="f","Surplus/déficit par année","Überschuss/Manko in einem Jahr")</f>
        <v>Überschuss/Manko in einem Jahr</v>
      </c>
      <c r="C110" s="201">
        <f>C109*12</f>
        <v>5887.7746514801183</v>
      </c>
      <c r="D110" s="2"/>
      <c r="E110" s="57">
        <f>E109*12</f>
        <v>23861.805327426293</v>
      </c>
      <c r="F110" s="85"/>
    </row>
  </sheetData>
  <phoneticPr fontId="0" type="noConversion"/>
  <conditionalFormatting sqref="A39">
    <cfRule type="cellIs" dxfId="16" priority="15" stopIfTrue="1" operator="equal">
      <formula>1</formula>
    </cfRule>
    <cfRule type="cellIs" dxfId="15" priority="16" stopIfTrue="1" operator="equal">
      <formula>1</formula>
    </cfRule>
  </conditionalFormatting>
  <conditionalFormatting sqref="A42">
    <cfRule type="cellIs" dxfId="14" priority="13" stopIfTrue="1" operator="equal">
      <formula>1</formula>
    </cfRule>
    <cfRule type="cellIs" dxfId="13" priority="14" stopIfTrue="1" operator="equal">
      <formula>1</formula>
    </cfRule>
  </conditionalFormatting>
  <conditionalFormatting sqref="A48">
    <cfRule type="expression" dxfId="12" priority="4">
      <formula>$C67&lt;0</formula>
    </cfRule>
  </conditionalFormatting>
  <conditionalFormatting sqref="C17">
    <cfRule type="cellIs" dxfId="11" priority="1" operator="equal">
      <formula>0</formula>
    </cfRule>
  </conditionalFormatting>
  <conditionalFormatting sqref="C21">
    <cfRule type="cellIs" dxfId="10" priority="17" stopIfTrue="1" operator="equal">
      <formula>1</formula>
    </cfRule>
    <cfRule type="cellIs" dxfId="9" priority="18" stopIfTrue="1" operator="equal">
      <formula>1</formula>
    </cfRule>
  </conditionalFormatting>
  <conditionalFormatting sqref="C39">
    <cfRule type="cellIs" dxfId="8" priority="7" stopIfTrue="1" operator="equal">
      <formula>1</formula>
    </cfRule>
    <cfRule type="cellIs" dxfId="7" priority="8" stopIfTrue="1" operator="equal">
      <formula>1</formula>
    </cfRule>
  </conditionalFormatting>
  <conditionalFormatting sqref="C42">
    <cfRule type="cellIs" dxfId="6" priority="9" stopIfTrue="1" operator="equal">
      <formula>1</formula>
    </cfRule>
    <cfRule type="cellIs" dxfId="5" priority="10" stopIfTrue="1" operator="equal">
      <formula>1</formula>
    </cfRule>
  </conditionalFormatting>
  <conditionalFormatting sqref="C48">
    <cfRule type="expression" dxfId="4" priority="3">
      <formula>$C67&lt;0</formula>
    </cfRule>
  </conditionalFormatting>
  <conditionalFormatting sqref="C8:D8">
    <cfRule type="expression" dxfId="3" priority="20" stopIfTrue="1">
      <formula>$B$8&lt;&gt;""</formula>
    </cfRule>
  </conditionalFormatting>
  <conditionalFormatting sqref="G49">
    <cfRule type="expression" dxfId="2" priority="2">
      <formula>$C67&lt;0</formula>
    </cfRule>
  </conditionalFormatting>
  <conditionalFormatting sqref="G53">
    <cfRule type="cellIs" dxfId="1" priority="19" stopIfTrue="1" operator="equal">
      <formula>0</formula>
    </cfRule>
  </conditionalFormatting>
  <conditionalFormatting sqref="G76">
    <cfRule type="expression" dxfId="0" priority="5">
      <formula>"isttext($G$74)"</formula>
    </cfRule>
  </conditionalFormatting>
  <dataValidations xWindow="19" yWindow="763" count="12">
    <dataValidation allowBlank="1" showInputMessage="1" showErrorMessage="1" prompt="Wenn die Berechnung für ein anderes als das Trennungsjahr erfolgen soll, oben die Jahrzahl ändern._x000a_Si le calcul doit être effectué pour une année autre que celle de la séparation, modifiez l'année en-haut." sqref="C17" xr:uid="{00000000-0002-0000-0200-000000000000}"/>
    <dataValidation allowBlank="1" showInputMessage="1" showErrorMessage="1" prompt="Die Berechnung des Alters erfolgt automatisch nach dem links eingegebenen Geburtsjahr._x000a_Le calcul de l'âge se fait automatiquement en fonction de l'année de naissance introduite à gauche." sqref="E8:E11" xr:uid="{00000000-0002-0000-0200-000001000000}"/>
    <dataValidation allowBlank="1" showErrorMessage="1" sqref="B7 A55:A59" xr:uid="{00000000-0002-0000-0200-000002000000}"/>
    <dataValidation type="whole" errorStyle="warning" operator="lessThan" allowBlank="1" showInputMessage="1" showErrorMessage="1" error="Es können nur negative Werte eingegeben werden._x000a_Peuvent être introduites que des valeurs négatives." sqref="A41 C41" xr:uid="{00000000-0002-0000-0200-000003000000}">
      <formula1>1</formula1>
    </dataValidation>
    <dataValidation type="list" allowBlank="1" prompt="Steuerberechnung möglich für BE, ZH, AG, SG, SO, BL, BS._x000a_Calcul des impôts possible pour BE, ZH, AG, SG, SO, BL, BS." sqref="C14 A14" xr:uid="{00000000-0002-0000-0200-000004000000}">
      <formula1>"BE,ZH,LU,FR,SO,BS,BL,SG,AG"</formula1>
    </dataValidation>
    <dataValidation type="list" allowBlank="1" showInputMessage="1" sqref="E1" xr:uid="{00000000-0002-0000-0200-000005000000}">
      <formula1>"d,f"</formula1>
    </dataValidation>
    <dataValidation type="decimal" operator="greaterThanOrEqual" allowBlank="1" showInputMessage="1" showErrorMessage="1" error="Es darf kein Text eingegeben werden!_x000a_Ne peut être introduit du texte!" sqref="A22 C22" xr:uid="{00000000-0002-0000-0200-000006000000}">
      <formula1>0</formula1>
    </dataValidation>
    <dataValidation allowBlank="1" showInputMessage="1" showErrorMessage="1" prompt="Bei volljährigen Kindern sind die Kinderabzüge in den Steuerangaben von Hand einzutragen. Die Berechtigung zum Kinderabzug, wenn das Kind im Haushalt eines Elternteils lebt und vom anderen Unterhaltsbeiträge erhält, ist je nach Kanton verschieden." sqref="C54 A54" xr:uid="{00000000-0002-0000-0200-000007000000}"/>
    <dataValidation type="list" errorStyle="warning" operator="greaterThan" allowBlank="1" showInputMessage="1" showErrorMessage="1" errorTitle="Achtung/Attention" error="Ist das Kind noch unmündig?_x000a_Ist die Eingabe in 4 Stellen erfolgt?_x000a_L'enfant est-il encore mineur?_x000a_L'entrée a-t-elle été faite en 4 figures?" prompt="Jahrgang in 4 Stellen eingeben._x000a_Introduire l'année de naissance en 4 figures." sqref="D8:D11" xr:uid="{00000000-0002-0000-0200-000008000000}">
      <formula1>"1996,1997,1998,1999,2000,2001,2002,2003,2004,2005,2006,2007,2008,2009,2010,2011,2012,2013,2014,2015"</formula1>
    </dataValidation>
    <dataValidation type="list" allowBlank="1" showInputMessage="1" sqref="E3" xr:uid="{00000000-0002-0000-0200-000009000000}">
      <formula1>"2012,2013,2014,2015,2016,2017,2018,2019,2020,2021,2022,2023,2024,2025,2026,2027,2028,2029,2030,2031"</formula1>
    </dataValidation>
    <dataValidation allowBlank="1" showInputMessage="1" showErrorMessage="1" prompt="Eingeben: &quot;f&quot; für Ehefrau oder &quot;m&quot; für Ehemann._x000a_Entrée: &quot;f&quot; pour l'épouse ou &quot;m&quot; pour l'époux." sqref="H8:H11" xr:uid="{00000000-0002-0000-0200-00000A000000}"/>
    <dataValidation type="list" allowBlank="1" showInputMessage="1" showErrorMessage="1" sqref="F8:F11" xr:uid="{00000000-0002-0000-0200-00000C000000}">
      <formula1>"n2,n1"</formula1>
    </dataValidation>
  </dataValidations>
  <hyperlinks>
    <hyperlink ref="I1" r:id="rId1" display="© www.berechnungsblaetter.ch 01.01" xr:uid="{00000000-0004-0000-0200-000000000000}"/>
  </hyperlinks>
  <pageMargins left="0.98425196850393704" right="0.19685039370078741" top="0.39370078740157483" bottom="0.39370078740157483" header="0.39370078740157483" footer="0.39370078740157483"/>
  <pageSetup paperSize="9" scale="67" orientation="portrait" blackAndWhite="1" horizontalDpi="4294967293" verticalDpi="300"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rgb="FFCCFFCC"/>
    <pageSetUpPr fitToPage="1"/>
  </sheetPr>
  <dimension ref="A1:I118"/>
  <sheetViews>
    <sheetView workbookViewId="0">
      <selection activeCell="A2" sqref="A2"/>
      <extLst>
        <ext xmlns:xlsdti="http://schemas.microsoft.com/office/spreadsheetml/2023/showDataTypeIcons" uri="{77bfe23e-c014-4d31-8a63-9c772dbf06b6}">
          <xlsdti:showDataTypeIcons visible="0"/>
        </ext>
      </extLst>
    </sheetView>
  </sheetViews>
  <sheetFormatPr baseColWidth="10" defaultColWidth="11.44140625" defaultRowHeight="13.2" x14ac:dyDescent="0.25"/>
  <cols>
    <col min="1" max="1" width="45.88671875" style="1" customWidth="1"/>
    <col min="2" max="2" width="12" style="26" customWidth="1"/>
    <col min="3" max="3" width="12.33203125" style="26" customWidth="1"/>
    <col min="4" max="4" width="2.109375" style="4" customWidth="1"/>
    <col min="5" max="5" width="12" style="26" customWidth="1"/>
    <col min="6" max="6" width="12.44140625" style="26" customWidth="1"/>
    <col min="7" max="16384" width="11.44140625" style="1"/>
  </cols>
  <sheetData>
    <row r="1" spans="1:6" x14ac:dyDescent="0.25">
      <c r="A1" s="6" t="str">
        <f>CONCATENATE(Hauptblatt!A1," ",Hauptblatt!A2)</f>
        <v>Autoren: Daniel Bähler und Annette Spycher</v>
      </c>
      <c r="C1" s="23" t="s">
        <v>68</v>
      </c>
      <c r="D1" s="1" t="str">
        <f>Hauptblatt!E2</f>
        <v>d</v>
      </c>
    </row>
    <row r="3" spans="1:6" ht="15.6" x14ac:dyDescent="0.3">
      <c r="A3" s="14" t="str">
        <f>IF($D$1="f","Constat approximatif du revenu imposable et de la fortune imposable","Angenäherte Ermittlung des steuerbaren Einkommens und Vermögens")</f>
        <v>Angenäherte Ermittlung des steuerbaren Einkommens und Vermögens</v>
      </c>
      <c r="D3" s="36"/>
      <c r="F3" s="134">
        <f>Hauptblatt!H4</f>
        <v>2026</v>
      </c>
    </row>
    <row r="4" spans="1:6" x14ac:dyDescent="0.25">
      <c r="A4" s="1" t="str">
        <f>IF($D$1="f","sans garantie","ohne Gewähr")</f>
        <v>ohne Gewähr</v>
      </c>
    </row>
    <row r="5" spans="1:6" x14ac:dyDescent="0.25">
      <c r="B5" s="37" t="str">
        <f>Hauptblatt!C11</f>
        <v>Franziska</v>
      </c>
      <c r="E5" s="37" t="str">
        <f>Hauptblatt!B11</f>
        <v>Martin</v>
      </c>
    </row>
    <row r="6" spans="1:6" x14ac:dyDescent="0.25">
      <c r="A6" s="12" t="str">
        <f>CONCATENATE(Hauptblatt!A6," ",Hauptblatt!A7)</f>
        <v>Namen: Martin und Franziska</v>
      </c>
      <c r="B6" s="24" t="str">
        <f>IF($D$1="f","Canton:","Kanton:")</f>
        <v>Kanton:</v>
      </c>
      <c r="C6" s="95" t="str">
        <f>Hauptblatt!C14</f>
        <v>BE</v>
      </c>
      <c r="E6" s="24" t="str">
        <f>IF($D$1="f","Canton:","Kanton:")</f>
        <v>Kanton:</v>
      </c>
      <c r="F6" s="95" t="str">
        <f>Hauptblatt!B14</f>
        <v>BE</v>
      </c>
    </row>
    <row r="7" spans="1:6" x14ac:dyDescent="0.25">
      <c r="A7" s="1" t="str">
        <f ca="1">CONCATENATE(IF($D$1="f","Date :","Datum:")," ",DAY(TODAY()),".",MONTH(TODAY()),".",YEAR(TODAY()))</f>
        <v>Datum: 26.9.2025</v>
      </c>
      <c r="B7" s="26" t="str">
        <f>IF($D$1="f","Seule:","Alleinstehend:")</f>
        <v>Alleinstehend:</v>
      </c>
      <c r="C7" s="68" t="str">
        <f>IF($F$3&gt;YEAR(Hauptblatt!$H7)+(Grundlagen!C38-1),Grundlagen!C34,"")</f>
        <v/>
      </c>
      <c r="E7" s="26" t="str">
        <f>IF($D$1="f","Seul:","Alleinstehend:")</f>
        <v>Alleinstehend:</v>
      </c>
      <c r="F7" s="68" t="str">
        <f>IF($F$3&gt;YEAR(Hauptblatt!H7)+(Grundlagen!D38-1),Grundlagen!D34,"")</f>
        <v>x</v>
      </c>
    </row>
    <row r="8" spans="1:6" x14ac:dyDescent="0.25">
      <c r="B8" s="26" t="str">
        <f>IF($D$1="f","Mariée/+ enfant:","Verh./mit Kind:")</f>
        <v>Verh./mit Kind:</v>
      </c>
      <c r="C8" s="84" t="str">
        <f>IF(C7="","x",Grundlagen!C35)</f>
        <v>x</v>
      </c>
      <c r="E8" s="26" t="str">
        <f>IF($D$1="f","Marié/+ enfant:","Verh./mit Kind:")</f>
        <v>Verh./mit Kind:</v>
      </c>
      <c r="F8" s="84" t="str">
        <f>IF(F7="","x",Grundlagen!D35)</f>
        <v/>
      </c>
    </row>
    <row r="9" spans="1:6" x14ac:dyDescent="0.25">
      <c r="B9" s="24" t="str">
        <f>IF($D$1="f","Confédération:","Bund:")</f>
        <v>Bund:</v>
      </c>
      <c r="C9" s="38"/>
      <c r="E9" s="24" t="str">
        <f>IF($D$1="f","Confédération:","Bund:")</f>
        <v>Bund:</v>
      </c>
      <c r="F9" s="38"/>
    </row>
    <row r="10" spans="1:6" x14ac:dyDescent="0.25">
      <c r="B10" s="26" t="str">
        <f>IF($D$1="f","Seule:","Alleinstehend:")</f>
        <v>Alleinstehend:</v>
      </c>
      <c r="C10" s="68" t="str">
        <f>IF(C11="","x","")</f>
        <v/>
      </c>
      <c r="E10" s="26" t="str">
        <f>IF($D$1="f","Seul:","Alleinstehend:")</f>
        <v>Alleinstehend:</v>
      </c>
      <c r="F10" s="68" t="str">
        <f>IF(F11="","x","")</f>
        <v>x</v>
      </c>
    </row>
    <row r="11" spans="1:6" x14ac:dyDescent="0.25">
      <c r="B11" s="26" t="str">
        <f>IF($D$1="f","Mariée/+ enfant:","Verh./mit Kind:")</f>
        <v>Verh./mit Kind:</v>
      </c>
      <c r="C11" s="84" t="str">
        <f>IF(Hilfsblatt!A15&gt;0,"x","")</f>
        <v>x</v>
      </c>
      <c r="E11" s="26" t="str">
        <f>IF($D$1="f","Marié/+ enfant:","Verh./mit Kind:")</f>
        <v>Verh./mit Kind:</v>
      </c>
      <c r="F11" s="84" t="str">
        <f>IF(Hilfsblatt!C15&gt;0,"x","")</f>
        <v/>
      </c>
    </row>
    <row r="12" spans="1:6" x14ac:dyDescent="0.25">
      <c r="A12" s="1" t="str">
        <f>IF($D$1="f","Nombre enfants pour tarif parents:","Anzahl Kinder für Elterntarif:")</f>
        <v>Anzahl Kinder für Elterntarif:</v>
      </c>
      <c r="C12" s="84">
        <f>Hilfsblatt!A15</f>
        <v>2</v>
      </c>
      <c r="F12" s="84">
        <f>Hilfsblatt!C15</f>
        <v>0</v>
      </c>
    </row>
    <row r="14" spans="1:6" x14ac:dyDescent="0.25">
      <c r="B14" s="26" t="str">
        <f>IF($D$1="f","Indépendante:","Selbstständig:")</f>
        <v>Selbstständig:</v>
      </c>
      <c r="C14" s="84"/>
      <c r="E14" s="26" t="str">
        <f>IF($D$1="f","Indépendant:","Selbstständig:")</f>
        <v>Selbstständig:</v>
      </c>
      <c r="F14" s="84"/>
    </row>
    <row r="15" spans="1:6" x14ac:dyDescent="0.25">
      <c r="B15" s="1"/>
      <c r="C15" s="1"/>
      <c r="D15" s="1"/>
      <c r="E15" s="1"/>
      <c r="F15" s="1"/>
    </row>
    <row r="16" spans="1:6" x14ac:dyDescent="0.25">
      <c r="B16" s="26" t="str">
        <f>IF($D$1="f","LPP:","BVG:")</f>
        <v>BVG:</v>
      </c>
      <c r="C16" s="84" t="str">
        <f>IF(C14="x",IF($D$1="f","examiner!","Prüfen!"),IF(B32=0,"",IF(B32*1.14&gt;Vorsorge!B15,"x",IF($D$1="f","examiner!","Prüfen!"))))</f>
        <v>x</v>
      </c>
      <c r="E16" s="26" t="str">
        <f>IF($D$1="f","LPP:","BVG:")</f>
        <v>BVG:</v>
      </c>
      <c r="F16" s="84" t="str">
        <f>IF(F14="x",IF($D$1="f","examiner!","Prüfen!"),IF(E32=0,"",IF(E32*1.14&gt;Vorsorge!B15,"x",IF($D$1="f","examiner!","Prüfen!"))))</f>
        <v>x</v>
      </c>
    </row>
    <row r="17" spans="1:6" x14ac:dyDescent="0.25">
      <c r="B17" s="26" t="str">
        <f>IF($D$1="f","3ème pilier:","3. Säule:")</f>
        <v>3. Säule:</v>
      </c>
      <c r="C17" s="84" t="str">
        <f>IF(Hilfsblatt!A53&gt;0,"x","")</f>
        <v>x</v>
      </c>
      <c r="E17" s="26" t="str">
        <f>IF($D$1="f","3ème pilier:","3. Säule:")</f>
        <v>3. Säule:</v>
      </c>
      <c r="F17" s="84" t="str">
        <f>IF(Hilfsblatt!C53&gt;0,"x","")</f>
        <v/>
      </c>
    </row>
    <row r="18" spans="1:6" x14ac:dyDescent="0.25">
      <c r="D18" s="26"/>
    </row>
    <row r="19" spans="1:6" x14ac:dyDescent="0.25">
      <c r="A19" s="85" t="str">
        <f>IF($D$1="f","Quotité de l'impôt cantonal revenu :","Steueranlage/Steuerfuss Kanton Einkommen:")</f>
        <v>Steueranlage/Steuerfuss Kanton Einkommen:</v>
      </c>
      <c r="B19" s="321">
        <v>297.5</v>
      </c>
      <c r="C19" s="31"/>
      <c r="D19" s="31"/>
      <c r="E19" s="321">
        <v>297.5</v>
      </c>
    </row>
    <row r="20" spans="1:6" x14ac:dyDescent="0.25">
      <c r="A20" s="85" t="str">
        <f>IF($D$1="f","Quotité de l'impôt cantonal fortune :","Steueranlage/Steuerfuss Kanton Vermögen:")</f>
        <v>Steueranlage/Steuerfuss Kanton Vermögen:</v>
      </c>
      <c r="B20" s="321">
        <v>297.5</v>
      </c>
      <c r="C20" s="31"/>
      <c r="D20" s="31"/>
      <c r="E20" s="321">
        <v>297.5</v>
      </c>
    </row>
    <row r="21" spans="1:6" x14ac:dyDescent="0.25">
      <c r="A21" t="str">
        <f>IF($D$1="f","Quotité de l'impôt communal revenu :","Steueranlage/Steuerfuss Gemeinde Einkommen:")</f>
        <v>Steueranlage/Steuerfuss Gemeinde Einkommen:</v>
      </c>
      <c r="B21" s="321">
        <v>170</v>
      </c>
      <c r="C21" s="31"/>
      <c r="D21" s="31"/>
      <c r="E21" s="321">
        <v>170</v>
      </c>
    </row>
    <row r="22" spans="1:6" x14ac:dyDescent="0.25">
      <c r="A22" t="str">
        <f>IF($D$1="f","Quotité de l'impôt communal fortune :","Steueranlage/Steuerfuss Gemeinde Vermögen:")</f>
        <v>Steueranlage/Steuerfuss Gemeinde Vermögen:</v>
      </c>
      <c r="B22" s="321">
        <v>170</v>
      </c>
      <c r="C22" s="31"/>
      <c r="D22" s="31"/>
      <c r="E22" s="321">
        <v>170</v>
      </c>
    </row>
    <row r="23" spans="1:6" x14ac:dyDescent="0.25">
      <c r="A23" t="str">
        <f>IF($D$1="f","Quotité de l'impôt écclésiastique revenu :","Steueranlage/Steuerfuss Kirche Einkommen:")</f>
        <v>Steueranlage/Steuerfuss Kirche Einkommen:</v>
      </c>
      <c r="B23" s="351">
        <v>20</v>
      </c>
      <c r="C23" s="31"/>
      <c r="D23" s="31"/>
      <c r="E23" s="351">
        <v>20</v>
      </c>
    </row>
    <row r="24" spans="1:6" x14ac:dyDescent="0.25">
      <c r="A24" t="str">
        <f>IF($D$1="f","Quotité de l'impôt écclésiastique fortune :","Steueranlage/Steuerfuss Kirche Vermögen:")</f>
        <v>Steueranlage/Steuerfuss Kirche Vermögen:</v>
      </c>
      <c r="B24" s="351">
        <v>20</v>
      </c>
      <c r="C24" s="31"/>
      <c r="D24" s="31"/>
      <c r="E24" s="351">
        <v>20</v>
      </c>
    </row>
    <row r="25" spans="1:6" x14ac:dyDescent="0.25">
      <c r="A25" s="280" t="str">
        <f>IF($D$1="f","Impôt personnel cantonal (francs/année) :","Personalsteuer Kanton (Franken/Jahr):")</f>
        <v>Personalsteuer Kanton (Franken/Jahr):</v>
      </c>
      <c r="B25" s="110">
        <v>0</v>
      </c>
      <c r="E25" s="110">
        <v>0</v>
      </c>
    </row>
    <row r="26" spans="1:6" x14ac:dyDescent="0.25">
      <c r="A26" s="280" t="str">
        <f>IF($D$1="f","Impôt personnel communal (francs/année) :","Personalsteuer Gemeinde (Franken/Jahr):")</f>
        <v>Personalsteuer Gemeinde (Franken/Jahr):</v>
      </c>
      <c r="B26" s="110">
        <v>0</v>
      </c>
      <c r="E26" s="110">
        <v>0</v>
      </c>
    </row>
    <row r="27" spans="1:6" x14ac:dyDescent="0.25">
      <c r="A27" s="35" t="str">
        <f>IF($D$1="f","Autres contributions communales (francs/année) :","Weitere Gemeindeabgaben (Franken/Jahr):")</f>
        <v>Weitere Gemeindeabgaben (Franken/Jahr):</v>
      </c>
      <c r="B27" s="110"/>
      <c r="E27" s="110"/>
    </row>
    <row r="29" spans="1:6" ht="13.8" x14ac:dyDescent="0.25">
      <c r="A29" s="25" t="str">
        <f>IF($D$1="f","Revenu","Einkommen")</f>
        <v>Einkommen</v>
      </c>
    </row>
    <row r="30" spans="1:6" x14ac:dyDescent="0.25">
      <c r="A30" s="2" t="str">
        <f>IF($D$1="f","Calcul pour un an","Berechnung für ein Jahr")</f>
        <v>Berechnung für ein Jahr</v>
      </c>
      <c r="B30" s="24" t="str">
        <f>C6</f>
        <v>BE</v>
      </c>
      <c r="C30" s="24" t="str">
        <f>IF($D$1="f","Confédération","Bund")</f>
        <v>Bund</v>
      </c>
      <c r="D30" s="23"/>
      <c r="E30" s="24" t="str">
        <f>F6</f>
        <v>BE</v>
      </c>
      <c r="F30" s="24" t="str">
        <f>IF($D$1="f","Confédération","Bund")</f>
        <v>Bund</v>
      </c>
    </row>
    <row r="32" spans="1:6" x14ac:dyDescent="0.25">
      <c r="A32" t="str">
        <f>IF($D$1="f","Revenu net, part 13ème salaire, revenu accessoire","Nettoeinkommen, Anteil 13. Mtl., Zusatzeinkommen")</f>
        <v>Nettoeinkommen, Anteil 13. Mtl., Zusatzeinkommen</v>
      </c>
      <c r="B32" s="69">
        <v>23400</v>
      </c>
      <c r="C32" s="69">
        <v>23400</v>
      </c>
      <c r="E32" s="69">
        <v>130000</v>
      </c>
      <c r="F32" s="69">
        <v>130000</v>
      </c>
    </row>
    <row r="33" spans="1:9" x14ac:dyDescent="0.25">
      <c r="A33" s="1" t="str">
        <f>IF($D$1="f","Corrections","Aufrechnungen")</f>
        <v>Aufrechnungen</v>
      </c>
      <c r="B33" s="39"/>
      <c r="C33" s="39" t="s">
        <v>190</v>
      </c>
      <c r="E33" s="39"/>
      <c r="F33" s="39" t="s">
        <v>190</v>
      </c>
    </row>
    <row r="34" spans="1:9" x14ac:dyDescent="0.25">
      <c r="A34" s="1" t="str">
        <f>IF($D$1="f","Allocations familiales","Familienzulagen")</f>
        <v>Familienzulagen</v>
      </c>
      <c r="B34" s="69">
        <v>6000</v>
      </c>
      <c r="C34" s="69">
        <v>6000</v>
      </c>
      <c r="E34" s="69">
        <v>0</v>
      </c>
      <c r="F34" s="69">
        <v>0</v>
      </c>
    </row>
    <row r="35" spans="1:9" x14ac:dyDescent="0.25">
      <c r="A35" s="1" t="str">
        <f>IF($D$1="f","Revenu autre activité lucrative","Nebenerwerbseinkommen")</f>
        <v>Nebenerwerbseinkommen</v>
      </c>
      <c r="B35" s="69">
        <v>0</v>
      </c>
      <c r="C35" s="69">
        <v>0</v>
      </c>
      <c r="E35" s="69">
        <v>0</v>
      </c>
      <c r="F35" s="69">
        <v>0</v>
      </c>
    </row>
    <row r="36" spans="1:9" x14ac:dyDescent="0.25">
      <c r="A36" s="152" t="str">
        <f>IF($D$1="f","Rente AVS/AI","Rente AHV/IV")</f>
        <v>Rente AHV/IV</v>
      </c>
      <c r="B36" s="69">
        <v>0</v>
      </c>
      <c r="C36" s="69">
        <v>0</v>
      </c>
      <c r="E36" s="69">
        <v>0</v>
      </c>
      <c r="F36" s="69">
        <v>0</v>
      </c>
    </row>
    <row r="37" spans="1:9" x14ac:dyDescent="0.25">
      <c r="A37" s="152" t="str">
        <f>IF($D$1="f","Rente prévoyance professionnelle","Rente berufliche Vorsorge")</f>
        <v>Rente berufliche Vorsorge</v>
      </c>
      <c r="B37" s="69">
        <v>0</v>
      </c>
      <c r="C37" s="155">
        <v>0</v>
      </c>
      <c r="E37" s="69">
        <v>0</v>
      </c>
      <c r="F37" s="155">
        <v>0</v>
      </c>
      <c r="H37" s="85" t="s">
        <v>166</v>
      </c>
      <c r="I37" s="85" t="s">
        <v>165</v>
      </c>
    </row>
    <row r="38" spans="1:9" x14ac:dyDescent="0.25">
      <c r="A38" s="152" t="str">
        <f>IF($D$1="f","Rente assurance-vie","Rente Lebensversicherung")</f>
        <v>Rente Lebensversicherung</v>
      </c>
      <c r="B38" s="69">
        <v>0</v>
      </c>
      <c r="C38" s="69">
        <v>0</v>
      </c>
      <c r="E38" s="69">
        <v>0</v>
      </c>
      <c r="F38" s="69">
        <v>0</v>
      </c>
      <c r="G38" s="4" t="str">
        <f>IF($D$1="f","Taux:","Satz:")</f>
        <v>Satz:</v>
      </c>
      <c r="H38" s="318">
        <v>0.4</v>
      </c>
      <c r="I38" s="318">
        <v>0.4</v>
      </c>
    </row>
    <row r="39" spans="1:9" x14ac:dyDescent="0.25">
      <c r="A39" s="1" t="str">
        <f>IF($D$1="f","Revenu de la fortune","Vermögensertrag")</f>
        <v>Vermögensertrag</v>
      </c>
      <c r="B39" s="69">
        <v>0</v>
      </c>
      <c r="C39" s="69">
        <v>0</v>
      </c>
      <c r="E39" s="69">
        <v>0</v>
      </c>
      <c r="F39" s="69">
        <v>0</v>
      </c>
    </row>
    <row r="40" spans="1:9" x14ac:dyDescent="0.25">
      <c r="A40" s="1" t="str">
        <f>IF($D$1="f","Valeur locative propriété immoblière","Eigenmietwert Liegenschaft")</f>
        <v>Eigenmietwert Liegenschaft</v>
      </c>
      <c r="B40" s="39"/>
      <c r="C40" s="39"/>
      <c r="E40" s="39"/>
      <c r="F40" s="39"/>
    </row>
    <row r="41" spans="1:9" x14ac:dyDescent="0.25">
      <c r="A41" s="1" t="str">
        <f>IF($D$1="f","./. Frais d'entretien et autres propriété immoblière","./. Unterhalts- und weitere Kosten Liegenschaft")</f>
        <v>./. Unterhalts- und weitere Kosten Liegenschaft</v>
      </c>
      <c r="B41" s="39"/>
      <c r="C41" s="39"/>
      <c r="E41" s="39"/>
      <c r="F41" s="39"/>
    </row>
    <row r="42" spans="1:9" x14ac:dyDescent="0.25">
      <c r="A42" s="1" t="str">
        <f>IF($D$1="f","Contributions d'entretien provenant de tiers","Unterhaltsbeiträge von Dritten")</f>
        <v>Unterhaltsbeiträge von Dritten</v>
      </c>
      <c r="B42" s="69">
        <v>0</v>
      </c>
      <c r="C42" s="69">
        <v>0</v>
      </c>
      <c r="E42" s="69">
        <v>0</v>
      </c>
      <c r="F42" s="69">
        <v>0</v>
      </c>
    </row>
    <row r="43" spans="1:9" x14ac:dyDescent="0.25">
      <c r="A43" s="1" t="str">
        <f>IF($D$1="f","Contributions d'entretien provenant de l'époux","Unterhaltsbeiträge vom Ehegatten/anderen Elternteil")</f>
        <v>Unterhaltsbeiträge vom Ehegatten/anderen Elternteil</v>
      </c>
      <c r="B43" s="40">
        <v>69032.414098519876</v>
      </c>
      <c r="C43" s="40">
        <v>69032.414098519876</v>
      </c>
      <c r="E43" s="39" t="s">
        <v>6</v>
      </c>
      <c r="F43" s="258" t="s">
        <v>6</v>
      </c>
    </row>
    <row r="44" spans="1:9" x14ac:dyDescent="0.25">
      <c r="A44" s="1" t="str">
        <f>IF($D$1="f","Correction CE effectivement payées/CE enfants maj.","Korrektur effektiv bezahlte UB/UB volljährige Kinder")</f>
        <v>Korrektur effektiv bezahlte UB/UB volljährige Kinder</v>
      </c>
      <c r="B44" s="39">
        <v>0</v>
      </c>
      <c r="C44" s="39">
        <v>0</v>
      </c>
      <c r="E44" s="39"/>
      <c r="F44" s="69" t="s">
        <v>190</v>
      </c>
    </row>
    <row r="45" spans="1:9" x14ac:dyDescent="0.25">
      <c r="A45" s="1" t="str">
        <f>IF($D$1="f","Autres revenus","Weitere Einkommensbestandteile")</f>
        <v>Weitere Einkommensbestandteile</v>
      </c>
      <c r="B45" s="39"/>
      <c r="C45" s="39" t="s">
        <v>190</v>
      </c>
      <c r="E45" s="39"/>
      <c r="F45" s="39" t="s">
        <v>190</v>
      </c>
    </row>
    <row r="46" spans="1:9" ht="13.8" thickBot="1" x14ac:dyDescent="0.3">
      <c r="B46" s="41"/>
      <c r="C46" s="41"/>
      <c r="E46" s="41"/>
      <c r="F46" s="41"/>
    </row>
    <row r="47" spans="1:9" s="2" customFormat="1" x14ac:dyDescent="0.25">
      <c r="A47" s="2" t="str">
        <f>IF($D$1="f","Total des revenus","Einkünfte total")</f>
        <v>Einkünfte total</v>
      </c>
      <c r="B47" s="70">
        <v>98432.414098519876</v>
      </c>
      <c r="C47" s="70">
        <v>98432.414098519876</v>
      </c>
      <c r="D47" s="23"/>
      <c r="E47" s="70">
        <v>130000</v>
      </c>
      <c r="F47" s="70">
        <v>130000</v>
      </c>
    </row>
    <row r="49" spans="1:6" x14ac:dyDescent="0.25">
      <c r="A49" t="str">
        <f>IF($D$1="f","Frais professionnels sur activité principale (forfait)","Berufskosten auf Erwerbseinkommen pauschal")</f>
        <v>Berufskosten auf Erwerbseinkommen pauschal</v>
      </c>
      <c r="B49" s="69">
        <v>0</v>
      </c>
      <c r="C49" s="39" t="s">
        <v>6</v>
      </c>
      <c r="E49" s="69">
        <v>0</v>
      </c>
      <c r="F49" s="39" t="s">
        <v>6</v>
      </c>
    </row>
    <row r="50" spans="1:6" x14ac:dyDescent="0.25">
      <c r="A50" t="str">
        <f>IF($D$1="f","Frais professionnels effectifs sur activité principale","Berufskosten auf Erwerbseinkommen effektiv")</f>
        <v>Berufskosten auf Erwerbseinkommen effektiv</v>
      </c>
      <c r="B50" s="69">
        <v>3268.25</v>
      </c>
      <c r="C50" s="69">
        <v>3268.25</v>
      </c>
      <c r="E50" s="69">
        <v>8540</v>
      </c>
      <c r="F50" s="69">
        <v>8540</v>
      </c>
    </row>
    <row r="51" spans="1:6" x14ac:dyDescent="0.25">
      <c r="A51" t="str">
        <f>IF($D$1="f","Frais professionnels sur autre activité lucrative","Berufskosten auf Nebenerwerbseinkommen")</f>
        <v>Berufskosten auf Nebenerwerbseinkommen</v>
      </c>
      <c r="B51" s="69">
        <v>0</v>
      </c>
      <c r="C51" s="69">
        <v>0</v>
      </c>
      <c r="E51" s="69">
        <v>0</v>
      </c>
      <c r="F51" s="69">
        <v>0</v>
      </c>
    </row>
    <row r="52" spans="1:6" x14ac:dyDescent="0.25">
      <c r="A52" t="str">
        <f>IF($D$1="f","Déduction assurances (normale)","Versicherungsabzug gewöhnlich")</f>
        <v>Versicherungsabzug gewöhnlich</v>
      </c>
      <c r="B52" s="69">
        <v>2450</v>
      </c>
      <c r="C52" s="69">
        <v>1800</v>
      </c>
      <c r="E52" s="69">
        <v>2450</v>
      </c>
      <c r="F52" s="69">
        <v>1800</v>
      </c>
    </row>
    <row r="53" spans="1:6" x14ac:dyDescent="0.25">
      <c r="A53" t="str">
        <f>IF($D$1="f","Déduction assurances (élevée)","Versicherungsabzug hoch")</f>
        <v>Versicherungsabzug hoch</v>
      </c>
      <c r="B53" s="69" t="s">
        <v>190</v>
      </c>
      <c r="C53" s="69" t="s">
        <v>190</v>
      </c>
      <c r="E53" s="69" t="s">
        <v>190</v>
      </c>
      <c r="F53" s="69" t="s">
        <v>190</v>
      </c>
    </row>
    <row r="54" spans="1:6" x14ac:dyDescent="0.25">
      <c r="A54" t="str">
        <f>IF($D$1="f","Déduction assurances enfants mineurs","Versicherungsabzug minderjährige Kinder")</f>
        <v>Versicherungsabzug minderjährige Kinder</v>
      </c>
      <c r="B54" s="69">
        <v>1400</v>
      </c>
      <c r="C54" s="69">
        <v>1400</v>
      </c>
      <c r="E54" s="69">
        <v>0</v>
      </c>
      <c r="F54" s="69">
        <v>0</v>
      </c>
    </row>
    <row r="55" spans="1:6" x14ac:dyDescent="0.25">
      <c r="A55" t="str">
        <f>IF($D$1="f","Déduction assurances enfants majeurs","Versicherungsabzug volljährige Kinder")</f>
        <v>Versicherungsabzug volljährige Kinder</v>
      </c>
      <c r="B55" s="69" t="s">
        <v>190</v>
      </c>
      <c r="C55" s="69" t="s">
        <v>190</v>
      </c>
      <c r="E55" s="69">
        <v>0</v>
      </c>
      <c r="F55" s="69">
        <v>0</v>
      </c>
    </row>
    <row r="56" spans="1:6" x14ac:dyDescent="0.25">
      <c r="A56" t="str">
        <f>IF($D$1="f","Garde des enfants par de tierces personnes","Drittbetreuung Kinder")</f>
        <v>Drittbetreuung Kinder</v>
      </c>
      <c r="B56" s="69">
        <v>2400</v>
      </c>
      <c r="C56" s="69">
        <v>2400</v>
      </c>
      <c r="E56" s="69" t="s">
        <v>190</v>
      </c>
      <c r="F56" s="69" t="s">
        <v>190</v>
      </c>
    </row>
    <row r="57" spans="1:6" x14ac:dyDescent="0.25">
      <c r="A57" s="1" t="str">
        <f>IF($D$1="f","Intérêts hypothécaires","Hypothekarzinsen")</f>
        <v>Hypothekarzinsen</v>
      </c>
      <c r="B57" s="39" t="s">
        <v>190</v>
      </c>
      <c r="C57" s="39" t="s">
        <v>190</v>
      </c>
      <c r="E57" s="39"/>
      <c r="F57" s="39"/>
    </row>
    <row r="58" spans="1:6" x14ac:dyDescent="0.25">
      <c r="A58" s="1" t="str">
        <f>IF($D$1="f","Autres intérêts passifs","Andere Schuldzinsen")</f>
        <v>Andere Schuldzinsen</v>
      </c>
      <c r="B58" s="39"/>
      <c r="C58" s="39"/>
      <c r="E58" s="39"/>
      <c r="F58" s="39"/>
    </row>
    <row r="59" spans="1:6" x14ac:dyDescent="0.25">
      <c r="A59" s="1" t="str">
        <f>IF($D$1="f","Prévoyance privée (3ème pilier)","Private Vorsorge (3. Säule)")</f>
        <v>Private Vorsorge (3. Säule)</v>
      </c>
      <c r="B59" s="69">
        <v>7218.4813729859125</v>
      </c>
      <c r="C59" s="69">
        <v>7218.4813729859125</v>
      </c>
      <c r="E59" s="69" t="s">
        <v>190</v>
      </c>
      <c r="F59" s="69" t="s">
        <v>190</v>
      </c>
    </row>
    <row r="60" spans="1:6" x14ac:dyDescent="0.25">
      <c r="A60" s="1" t="str">
        <f>IF($D$1="f","Contributions d'entretien pour des tiers","Unterhaltsbeiträge an Dritte")</f>
        <v>Unterhaltsbeiträge an Dritte</v>
      </c>
      <c r="B60" s="39">
        <v>0</v>
      </c>
      <c r="C60" s="267">
        <v>0</v>
      </c>
      <c r="E60" s="39">
        <v>0</v>
      </c>
      <c r="F60" s="39">
        <v>0</v>
      </c>
    </row>
    <row r="61" spans="1:6" x14ac:dyDescent="0.25">
      <c r="A61" s="1" t="str">
        <f>IF($D$1="f","Allocations familiales transférées","Weitergeleitete Familienzulagen")</f>
        <v>Weitergeleitete Familienzulagen</v>
      </c>
      <c r="B61" s="39" t="s">
        <v>190</v>
      </c>
      <c r="C61" s="39" t="s">
        <v>190</v>
      </c>
      <c r="E61" s="39" t="s">
        <v>190</v>
      </c>
      <c r="F61" s="39" t="s">
        <v>190</v>
      </c>
    </row>
    <row r="62" spans="1:6" x14ac:dyDescent="0.25">
      <c r="A62" s="1" t="str">
        <f>IF($D$1="f","Contributions d'entretien pour l'époux","Unterhaltsbeiträge an den Ehegatten/anderen Elternteil")</f>
        <v>Unterhaltsbeiträge an den Ehegatten/anderen Elternteil</v>
      </c>
      <c r="B62" s="39" t="s">
        <v>6</v>
      </c>
      <c r="C62" s="258" t="s">
        <v>6</v>
      </c>
      <c r="E62" s="61">
        <v>69032.414098519876</v>
      </c>
      <c r="F62" s="40">
        <v>69032.414098519876</v>
      </c>
    </row>
    <row r="63" spans="1:6" x14ac:dyDescent="0.25">
      <c r="A63" s="1" t="str">
        <f>IF($D$1="f","Correction CE effectivement payées/CE enfants maj.","Korrektur effektiv bezahlte UB/UB volljährige Kinder")</f>
        <v>Korrektur effektiv bezahlte UB/UB volljährige Kinder</v>
      </c>
      <c r="B63" s="188" t="s">
        <v>190</v>
      </c>
      <c r="C63" s="39" t="s">
        <v>190</v>
      </c>
      <c r="E63" s="188">
        <v>0</v>
      </c>
      <c r="F63" s="39">
        <v>0</v>
      </c>
    </row>
    <row r="64" spans="1:6" x14ac:dyDescent="0.25">
      <c r="A64" s="1" t="str">
        <f>IF($D$1="f","Autres déductions générales","Weitere sachliche Abzüge")</f>
        <v>Weitere sachliche Abzüge</v>
      </c>
      <c r="B64" s="39"/>
      <c r="C64" s="39" t="s">
        <v>190</v>
      </c>
      <c r="E64" s="39"/>
      <c r="F64" s="39" t="s">
        <v>190</v>
      </c>
    </row>
    <row r="65" spans="1:6" ht="13.8" thickBot="1" x14ac:dyDescent="0.3">
      <c r="B65" s="39"/>
      <c r="C65" s="39" t="s">
        <v>190</v>
      </c>
      <c r="E65" s="39"/>
      <c r="F65" s="39" t="s">
        <v>190</v>
      </c>
    </row>
    <row r="66" spans="1:6" s="2" customFormat="1" x14ac:dyDescent="0.25">
      <c r="A66" s="2" t="str">
        <f>IF($D$1="f","Total des déductions générales","Sachliche Abzüge total")</f>
        <v>Sachliche Abzüge total</v>
      </c>
      <c r="B66" s="70">
        <v>16736.731372985912</v>
      </c>
      <c r="C66" s="70">
        <v>16086.731372985912</v>
      </c>
      <c r="D66" s="23"/>
      <c r="E66" s="70">
        <v>80022.414098519876</v>
      </c>
      <c r="F66" s="70">
        <v>79372.414098519876</v>
      </c>
    </row>
    <row r="67" spans="1:6" s="2" customFormat="1" x14ac:dyDescent="0.25">
      <c r="B67" s="24"/>
      <c r="C67" s="24"/>
      <c r="D67" s="23"/>
      <c r="E67" s="24"/>
      <c r="F67" s="24"/>
    </row>
    <row r="68" spans="1:6" s="2" customFormat="1" x14ac:dyDescent="0.25">
      <c r="A68" s="2" t="str">
        <f>IF($D$1="f","Revenu net fiscal","Reines Einkommen")</f>
        <v>Reines Einkommen</v>
      </c>
      <c r="B68" s="71">
        <v>81695.682725533959</v>
      </c>
      <c r="C68" s="71">
        <v>82345.682725533959</v>
      </c>
      <c r="D68" s="23"/>
      <c r="E68" s="71">
        <v>49977.585901480124</v>
      </c>
      <c r="F68" s="71">
        <v>50627.585901480124</v>
      </c>
    </row>
    <row r="70" spans="1:6" x14ac:dyDescent="0.25">
      <c r="A70" s="1" t="str">
        <f>IF($D$1="f","Déduction globale","Allgemeiner Abzug")</f>
        <v>Allgemeiner Abzug</v>
      </c>
      <c r="B70" s="69">
        <v>5300</v>
      </c>
      <c r="C70" s="39" t="s">
        <v>6</v>
      </c>
      <c r="E70" s="69">
        <v>5300</v>
      </c>
      <c r="F70" s="39" t="s">
        <v>6</v>
      </c>
    </row>
    <row r="71" spans="1:6" x14ac:dyDescent="0.25">
      <c r="A71" s="1" t="str">
        <f>IF($D$1="f","Seul/e avec ménage indépendant","Alleinstehend mit eigenem Haushalt")</f>
        <v>Alleinstehend mit eigenem Haushalt</v>
      </c>
      <c r="B71" s="69">
        <v>2400</v>
      </c>
      <c r="C71" s="39" t="s">
        <v>6</v>
      </c>
      <c r="E71" s="69">
        <v>2400</v>
      </c>
      <c r="F71" s="39" t="s">
        <v>6</v>
      </c>
    </row>
    <row r="72" spans="1:6" x14ac:dyDescent="0.25">
      <c r="A72" s="1" t="str">
        <f>IF($D$1="f","Déduction pour enfants","Kinderabzug")</f>
        <v>Kinderabzug</v>
      </c>
      <c r="B72" s="69">
        <v>16600</v>
      </c>
      <c r="C72" s="69">
        <v>13600</v>
      </c>
      <c r="E72" s="69" t="s">
        <v>190</v>
      </c>
      <c r="F72" s="69" t="s">
        <v>190</v>
      </c>
    </row>
    <row r="73" spans="1:6" x14ac:dyDescent="0.25">
      <c r="A73" s="1" t="str">
        <f>IF($D$1="f","Déduction pour enfants majeurs","Kinderabzug für volljährige Kinder")</f>
        <v>Kinderabzug für volljährige Kinder</v>
      </c>
      <c r="B73" s="291"/>
      <c r="C73" s="69"/>
      <c r="E73" s="69">
        <v>0</v>
      </c>
      <c r="F73" s="69">
        <v>0</v>
      </c>
    </row>
    <row r="74" spans="1:6" x14ac:dyDescent="0.25">
      <c r="A74" s="1" t="str">
        <f>IF($D$1="f","Seul/e avec ménage indépendant et enfants","Alleinstehend mit eigenem Haushalt und Kindern")</f>
        <v>Alleinstehend mit eigenem Haushalt und Kindern</v>
      </c>
      <c r="B74" s="69">
        <v>2600</v>
      </c>
      <c r="C74" s="39" t="s">
        <v>6</v>
      </c>
      <c r="E74" s="69">
        <v>0</v>
      </c>
      <c r="F74" s="39" t="s">
        <v>6</v>
      </c>
    </row>
    <row r="75" spans="1:6" x14ac:dyDescent="0.25">
      <c r="A75" s="1" t="str">
        <f>IF($D$1="f","Seul/e avec mén. ind. et enfants majeurs","All'stehend mit eig. Haushalt und volljährigen Kindern")</f>
        <v>All'stehend mit eig. Haushalt und volljährigen Kindern</v>
      </c>
      <c r="B75" s="69" t="s">
        <v>190</v>
      </c>
      <c r="C75" s="39" t="s">
        <v>6</v>
      </c>
      <c r="E75" s="69" t="s">
        <v>190</v>
      </c>
      <c r="F75" s="39" t="s">
        <v>6</v>
      </c>
    </row>
    <row r="76" spans="1:6" x14ac:dyDescent="0.25">
      <c r="A76" s="1" t="str">
        <f>IF($D$1="f","Frais de formation supplémentaires","Zusätzliche Ausbildungskosten")</f>
        <v>Zusätzliche Ausbildungskosten</v>
      </c>
      <c r="B76" s="39"/>
      <c r="C76" s="39" t="s">
        <v>6</v>
      </c>
      <c r="E76" s="69"/>
      <c r="F76" s="39" t="s">
        <v>6</v>
      </c>
    </row>
    <row r="77" spans="1:6" x14ac:dyDescent="0.25">
      <c r="A77" s="1" t="str">
        <f>IF($D$1="f","Subsides","Unterstützungen")</f>
        <v>Unterstützungen</v>
      </c>
      <c r="B77" s="291" t="s">
        <v>190</v>
      </c>
      <c r="C77" s="291" t="s">
        <v>190</v>
      </c>
      <c r="E77" s="39" t="s">
        <v>190</v>
      </c>
      <c r="F77" s="39" t="s">
        <v>190</v>
      </c>
    </row>
    <row r="78" spans="1:6" x14ac:dyDescent="0.25">
      <c r="A78" s="1" t="str">
        <f>IF($D$1="f","Frais de maladie","Krankheitskosten")</f>
        <v>Krankheitskosten</v>
      </c>
      <c r="B78" s="69" t="s">
        <v>190</v>
      </c>
      <c r="C78" s="69" t="s">
        <v>190</v>
      </c>
      <c r="E78" s="69" t="s">
        <v>190</v>
      </c>
      <c r="F78" s="69" t="s">
        <v>190</v>
      </c>
    </row>
    <row r="79" spans="1:6" x14ac:dyDescent="0.25">
      <c r="A79" s="1" t="str">
        <f>IF($D$1="f","Dons","Vergabungen")</f>
        <v>Vergabungen</v>
      </c>
      <c r="B79" s="39"/>
      <c r="C79" s="39" t="s">
        <v>190</v>
      </c>
      <c r="E79" s="39"/>
      <c r="F79" s="39" t="s">
        <v>190</v>
      </c>
    </row>
    <row r="80" spans="1:6" x14ac:dyDescent="0.25">
      <c r="A80" s="1" t="str">
        <f>IF($D$1="f","Autre déduction sociale 1","Weiterer Sozialabzug 1")</f>
        <v>Weiterer Sozialabzug 1</v>
      </c>
      <c r="B80" s="69" t="s">
        <v>190</v>
      </c>
      <c r="C80" s="39" t="s">
        <v>6</v>
      </c>
      <c r="E80" s="69" t="s">
        <v>190</v>
      </c>
      <c r="F80" s="39" t="s">
        <v>6</v>
      </c>
    </row>
    <row r="81" spans="1:6" x14ac:dyDescent="0.25">
      <c r="A81" s="1" t="str">
        <f>IF($D$1="f","Autre déduction sociale 2","Weiterer Sozialabzug 2")</f>
        <v>Weiterer Sozialabzug 2</v>
      </c>
      <c r="B81" s="69" t="s">
        <v>190</v>
      </c>
      <c r="C81" s="39" t="s">
        <v>6</v>
      </c>
      <c r="E81" s="69" t="s">
        <v>190</v>
      </c>
      <c r="F81" s="39" t="s">
        <v>6</v>
      </c>
    </row>
    <row r="82" spans="1:6" x14ac:dyDescent="0.25">
      <c r="A82" s="1" t="str">
        <f>IF($D$1="f","Autres déductions personnelles/sociales","Weitere persönliche/Sozialabzüge")</f>
        <v>Weitere persönliche/Sozialabzüge</v>
      </c>
      <c r="B82" s="39"/>
      <c r="C82" s="39"/>
      <c r="E82" s="39"/>
      <c r="F82" s="39"/>
    </row>
    <row r="83" spans="1:6" ht="13.8" thickBot="1" x14ac:dyDescent="0.3">
      <c r="B83" s="39"/>
      <c r="C83" s="39" t="s">
        <v>190</v>
      </c>
      <c r="E83" s="39"/>
      <c r="F83" s="39" t="s">
        <v>190</v>
      </c>
    </row>
    <row r="84" spans="1:6" s="2" customFormat="1" x14ac:dyDescent="0.25">
      <c r="A84" s="2" t="str">
        <f>IF($D$1="f","Total des déductions personnelles et sociales","Persönliche/Sozialabzüge total")</f>
        <v>Persönliche/Sozialabzüge total</v>
      </c>
      <c r="B84" s="70">
        <v>26900</v>
      </c>
      <c r="C84" s="70">
        <v>13600</v>
      </c>
      <c r="D84" s="23"/>
      <c r="E84" s="70">
        <v>7700</v>
      </c>
      <c r="F84" s="70">
        <v>0</v>
      </c>
    </row>
    <row r="86" spans="1:6" s="2" customFormat="1" x14ac:dyDescent="0.25">
      <c r="A86" s="2" t="str">
        <f>IF($D$1="f","Total intermédiaire","Zwischentotal")</f>
        <v>Zwischentotal</v>
      </c>
      <c r="B86" s="71">
        <v>54795.682725533959</v>
      </c>
      <c r="C86" s="71">
        <v>68745.682725533959</v>
      </c>
      <c r="D86" s="23"/>
      <c r="E86" s="71">
        <v>42277.585901480124</v>
      </c>
      <c r="F86" s="71">
        <v>50627.585901480124</v>
      </c>
    </row>
    <row r="87" spans="1:6" x14ac:dyDescent="0.25">
      <c r="A87" t="str">
        <f>IF($D$1="f","Autre déduction sociale 3","Weiterer Sozialabzug 3")</f>
        <v>Weiterer Sozialabzug 3</v>
      </c>
      <c r="B87" s="69">
        <v>0</v>
      </c>
      <c r="C87" s="39" t="s">
        <v>6</v>
      </c>
      <c r="E87" s="69">
        <v>0</v>
      </c>
      <c r="F87" s="39" t="s">
        <v>6</v>
      </c>
    </row>
    <row r="88" spans="1:6" ht="13.8" thickBot="1" x14ac:dyDescent="0.3">
      <c r="A88" s="1" t="str">
        <f>IF($D$1="f","Autre déduction sociale 4","Weiterer Sozialabzug 4")</f>
        <v>Weiterer Sozialabzug 4</v>
      </c>
      <c r="B88" s="69">
        <v>0</v>
      </c>
      <c r="C88" s="39" t="s">
        <v>6</v>
      </c>
      <c r="E88" s="69">
        <v>0</v>
      </c>
      <c r="F88" s="39" t="s">
        <v>6</v>
      </c>
    </row>
    <row r="89" spans="1:6" s="3" customFormat="1" x14ac:dyDescent="0.25">
      <c r="A89" s="3" t="str">
        <f>IF($D$1="f","Revenu imposable","Steuerbares Einkommen")</f>
        <v>Steuerbares Einkommen</v>
      </c>
      <c r="B89" s="72">
        <v>54795.682725533959</v>
      </c>
      <c r="C89" s="72">
        <v>68745.682725533959</v>
      </c>
      <c r="D89" s="27"/>
      <c r="E89" s="72">
        <v>42277.585901480124</v>
      </c>
      <c r="F89" s="72">
        <v>50627.585901480124</v>
      </c>
    </row>
    <row r="91" spans="1:6" ht="13.8" x14ac:dyDescent="0.25">
      <c r="A91" s="25" t="str">
        <f>IF($D$1="f","Fortune","Vermögen")</f>
        <v>Vermögen</v>
      </c>
    </row>
    <row r="92" spans="1:6" x14ac:dyDescent="0.25">
      <c r="A92" s="2" t="str">
        <f>IF($D$1="f","à la date déterminante","per Stichtag")</f>
        <v>per Stichtag</v>
      </c>
    </row>
    <row r="94" spans="1:6" x14ac:dyDescent="0.25">
      <c r="A94" s="1" t="str">
        <f>IF($D$1="f","Titres et autres capitaux","Wertschriften und andere Kapitalanlagen")</f>
        <v>Wertschriften und andere Kapitalanlagen</v>
      </c>
      <c r="B94" s="39"/>
      <c r="E94" s="39"/>
    </row>
    <row r="95" spans="1:6" x14ac:dyDescent="0.25">
      <c r="A95" s="1" t="str">
        <f>IF($D$1="f","Fortune immobilière (valeur officielle)","Grundeigentum (amtlicher Wert)")</f>
        <v>Grundeigentum (amtlicher Wert)</v>
      </c>
      <c r="B95" s="39"/>
      <c r="E95" s="39"/>
    </row>
    <row r="96" spans="1:6" x14ac:dyDescent="0.25">
      <c r="A96" s="1" t="str">
        <f>IF($D$1="f","Véhicules","Fahrzeuge")</f>
        <v>Fahrzeuge</v>
      </c>
      <c r="B96" s="39"/>
      <c r="E96" s="39"/>
    </row>
    <row r="97" spans="1:7" x14ac:dyDescent="0.25">
      <c r="A97" s="1" t="str">
        <f>IF($D$1="f","Autres actifs","Weitere Vermögenswerte")</f>
        <v>Weitere Vermögenswerte</v>
      </c>
      <c r="B97" s="39"/>
      <c r="E97" s="39"/>
    </row>
    <row r="98" spans="1:7" ht="13.8" thickBot="1" x14ac:dyDescent="0.3">
      <c r="B98" s="39"/>
      <c r="E98" s="39"/>
    </row>
    <row r="99" spans="1:7" x14ac:dyDescent="0.25">
      <c r="A99" s="2" t="str">
        <f>IF($D$1="f","Total des actifs","Vermögenswerte total")</f>
        <v>Vermögenswerte total</v>
      </c>
      <c r="B99" s="70">
        <v>0</v>
      </c>
      <c r="C99" s="73"/>
      <c r="D99" s="74"/>
      <c r="E99" s="70">
        <v>0</v>
      </c>
    </row>
    <row r="101" spans="1:7" x14ac:dyDescent="0.25">
      <c r="A101" s="1" t="str">
        <f>IF($D$1="f","Dettes hypothécaires","Hypothekarschulden")</f>
        <v>Hypothekarschulden</v>
      </c>
      <c r="B101" s="39"/>
      <c r="E101" s="39"/>
      <c r="F101" s="4" t="str">
        <f>IF($D$1="f","Taux:","Satz:")</f>
        <v>Satz:</v>
      </c>
      <c r="G101" s="146">
        <v>0</v>
      </c>
    </row>
    <row r="102" spans="1:7" x14ac:dyDescent="0.25">
      <c r="A102" s="1" t="str">
        <f>IF($D$1="f","Dettes de crédit","Kreditschulden")</f>
        <v>Kreditschulden</v>
      </c>
      <c r="B102" s="39"/>
      <c r="E102" s="39"/>
    </row>
    <row r="103" spans="1:7" x14ac:dyDescent="0.25">
      <c r="A103" s="1" t="str">
        <f>IF($D$1="f","Autres dettes","Weitere Schulden")</f>
        <v>Weitere Schulden</v>
      </c>
      <c r="B103" s="39"/>
      <c r="E103" s="39"/>
    </row>
    <row r="104" spans="1:7" ht="13.8" thickBot="1" x14ac:dyDescent="0.3">
      <c r="B104" s="39"/>
      <c r="E104" s="39"/>
    </row>
    <row r="105" spans="1:7" x14ac:dyDescent="0.25">
      <c r="A105" s="2" t="str">
        <f>IF($D$1="f","Total des dettes","Schulden total")</f>
        <v>Schulden total</v>
      </c>
      <c r="B105" s="70">
        <v>0</v>
      </c>
      <c r="C105" s="73"/>
      <c r="D105" s="74"/>
      <c r="E105" s="70">
        <v>0</v>
      </c>
    </row>
    <row r="107" spans="1:7" x14ac:dyDescent="0.25">
      <c r="A107" s="2" t="str">
        <f>IF($D$1="f","Fortune nette","Reines Vermögen")</f>
        <v>Reines Vermögen</v>
      </c>
      <c r="B107" s="71">
        <v>0</v>
      </c>
      <c r="C107" s="73"/>
      <c r="D107" s="74"/>
      <c r="E107" s="71">
        <v>0</v>
      </c>
    </row>
    <row r="109" spans="1:7" x14ac:dyDescent="0.25">
      <c r="A109" s="1" t="str">
        <f>IF($D$1="f","Déduction globale","Allgemeiner Abzug")</f>
        <v>Allgemeiner Abzug</v>
      </c>
      <c r="B109" s="69" t="s">
        <v>190</v>
      </c>
      <c r="E109" s="69" t="s">
        <v>190</v>
      </c>
    </row>
    <row r="110" spans="1:7" x14ac:dyDescent="0.25">
      <c r="A110" s="1" t="str">
        <f>IF($D$1="f","Déduction pour enfants","Kinderabzug")</f>
        <v>Kinderabzug</v>
      </c>
      <c r="B110" s="69">
        <v>36000</v>
      </c>
      <c r="E110" s="69">
        <v>0</v>
      </c>
    </row>
    <row r="111" spans="1:7" x14ac:dyDescent="0.25">
      <c r="A111" s="1" t="str">
        <f>IF($D$1="f","Autre déduction 1","Weiterer Abzug 1")</f>
        <v>Weiterer Abzug 1</v>
      </c>
      <c r="B111" s="69" t="s">
        <v>190</v>
      </c>
      <c r="E111" s="69" t="s">
        <v>190</v>
      </c>
    </row>
    <row r="112" spans="1:7" x14ac:dyDescent="0.25">
      <c r="A112" s="1" t="str">
        <f>IF($D$1="f","Autre déduction 2","Weiterer Abzug 2")</f>
        <v>Weiterer Abzug 2</v>
      </c>
      <c r="B112" s="69" t="s">
        <v>190</v>
      </c>
      <c r="E112" s="69" t="s">
        <v>190</v>
      </c>
    </row>
    <row r="113" spans="1:6" ht="13.8" thickBot="1" x14ac:dyDescent="0.3">
      <c r="B113" s="39"/>
      <c r="E113" s="39"/>
    </row>
    <row r="114" spans="1:6" x14ac:dyDescent="0.25">
      <c r="A114" s="2" t="str">
        <f>IF($D$1="f","Total des déductions personnelles et sociales","Persönliche/Sozialabzüge total")</f>
        <v>Persönliche/Sozialabzüge total</v>
      </c>
      <c r="B114" s="70">
        <v>36000</v>
      </c>
      <c r="C114" s="73"/>
      <c r="D114" s="74"/>
      <c r="E114" s="70">
        <v>0</v>
      </c>
    </row>
    <row r="115" spans="1:6" ht="13.8" thickBot="1" x14ac:dyDescent="0.3"/>
    <row r="116" spans="1:6" s="3" customFormat="1" x14ac:dyDescent="0.25">
      <c r="A116" s="3" t="str">
        <f>IF($D$1="f","Fortune imposable","Steuerbares Vermögen")</f>
        <v>Steuerbares Vermögen</v>
      </c>
      <c r="B116" s="72">
        <v>0</v>
      </c>
      <c r="C116" s="28"/>
      <c r="D116" s="27"/>
      <c r="E116" s="72">
        <v>0</v>
      </c>
      <c r="F116" s="28"/>
    </row>
    <row r="118" spans="1:6" x14ac:dyDescent="0.25">
      <c r="A118" s="167" t="str">
        <f>Hauptblatt!H1</f>
        <v>© berechnungsblaetter.ch 10.25</v>
      </c>
    </row>
  </sheetData>
  <phoneticPr fontId="0" type="noConversion"/>
  <dataValidations count="4">
    <dataValidation type="custom" allowBlank="1" showInputMessage="1" showErrorMessage="1" sqref="C7:C8 C10:C11 F7:F8 F10:F11" xr:uid="{00000000-0002-0000-0300-000000000000}">
      <formula1>OR(C7="x",C7="")</formula1>
    </dataValidation>
    <dataValidation type="custom" allowBlank="1" showInputMessage="1" showErrorMessage="1" prompt="Eingabe &quot;x&quot;, wenn zutreffend._x000a_Le cas échéant, introduisez &quot;x&quot;." sqref="F14 F17 C14 C16:C17" xr:uid="{00000000-0002-0000-0300-000001000000}">
      <formula1>OR(C14="x",C14="")</formula1>
    </dataValidation>
    <dataValidation type="decimal" errorStyle="warning" operator="lessThanOrEqual" allowBlank="1" showInputMessage="1" showErrorMessage="1" error="Es dürfen nur negative Werte eingegeben werden._x000a_Ne doivent introduites que des valeurs négatives." sqref="B41:C41 E41:F41" xr:uid="{00000000-0002-0000-0300-000002000000}">
      <formula1>0</formula1>
    </dataValidation>
    <dataValidation type="custom" allowBlank="1" showErrorMessage="1" prompt="Eingabe &quot;x&quot;, wenn zutreffend._x000a_Le cas échéant, introduisez &quot;x&quot;." sqref="F16" xr:uid="{00000000-0002-0000-0300-000003000000}">
      <formula1>OR(F16="x",F16="")</formula1>
    </dataValidation>
  </dataValidations>
  <hyperlinks>
    <hyperlink ref="A118" r:id="rId1" display="© www.berechnungsblaetter.ch 01.09" xr:uid="{00000000-0004-0000-0300-000000000000}"/>
  </hyperlinks>
  <pageMargins left="1.0629921259842521" right="0.78740157480314965" top="0.35433070866141736" bottom="0.47244094488188981" header="0.27559055118110237" footer="0.47244094488188981"/>
  <pageSetup paperSize="9" scale="53" orientation="portrait" blackAndWhite="1" horizontalDpi="300" verticalDpi="300" r:id="rId2"/>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CCFFCC"/>
    <pageSetUpPr fitToPage="1"/>
  </sheetPr>
  <dimension ref="A1:F44"/>
  <sheetViews>
    <sheetView workbookViewId="0">
      <selection activeCell="A3" sqref="A3"/>
      <extLst>
        <ext xmlns:xlsdti="http://schemas.microsoft.com/office/spreadsheetml/2023/showDataTypeIcons" uri="{77bfe23e-c014-4d31-8a63-9c772dbf06b6}">
          <xlsdti:showDataTypeIcons visible="0"/>
        </ext>
      </extLst>
    </sheetView>
  </sheetViews>
  <sheetFormatPr baseColWidth="10" defaultColWidth="11.44140625" defaultRowHeight="13.2" x14ac:dyDescent="0.25"/>
  <cols>
    <col min="1" max="1" width="36.5546875" style="172" customWidth="1"/>
    <col min="2" max="2" width="12.33203125" style="170" bestFit="1" customWidth="1"/>
    <col min="3" max="4" width="11.44140625" style="170"/>
    <col min="5" max="5" width="11.44140625" style="171"/>
    <col min="6" max="6" width="13.44140625" style="172" customWidth="1"/>
    <col min="7" max="16384" width="11.44140625" style="172"/>
  </cols>
  <sheetData>
    <row r="1" spans="1:6" x14ac:dyDescent="0.25">
      <c r="A1" s="273" t="str">
        <f>IF($D$1="f","Auteur/e :","Autor/in:")</f>
        <v>Autor/in:</v>
      </c>
      <c r="C1" s="23" t="s">
        <v>68</v>
      </c>
      <c r="D1" s="170" t="str">
        <f>Hauptblatt!E2</f>
        <v>d</v>
      </c>
      <c r="F1" s="99" t="str">
        <f>Hauptblatt!H1</f>
        <v>© berechnungsblaetter.ch 10.25</v>
      </c>
    </row>
    <row r="2" spans="1:6" x14ac:dyDescent="0.25">
      <c r="A2" s="173" t="str">
        <f>Hilfsblatt!B1</f>
        <v>Daniel Bähler und Annette Spycher</v>
      </c>
      <c r="F2" s="99"/>
    </row>
    <row r="4" spans="1:6" ht="17.399999999999999" x14ac:dyDescent="0.3">
      <c r="A4" s="174" t="str">
        <f>IF($D$1="f","Calcul de la contribution de prévoyance","Berechnung Vorsorgeunterhalt")</f>
        <v>Berechnung Vorsorgeunterhalt</v>
      </c>
      <c r="D4" s="153" t="s">
        <v>113</v>
      </c>
      <c r="F4" s="175"/>
    </row>
    <row r="5" spans="1:6" x14ac:dyDescent="0.25">
      <c r="D5" s="153" t="s">
        <v>114</v>
      </c>
    </row>
    <row r="7" spans="1:6" x14ac:dyDescent="0.25">
      <c r="A7" s="179" t="str">
        <f>IF($D$1="f","Année de calcul déterminante","Berechnungsjahr")</f>
        <v>Berechnungsjahr</v>
      </c>
      <c r="B7" s="176">
        <f>Hilfsblatt!E3</f>
        <v>2026</v>
      </c>
    </row>
    <row r="8" spans="1:6" x14ac:dyDescent="0.25">
      <c r="A8" s="179" t="str">
        <f>IF($D$1="f","Nom/Description de l'ayant droit","Name/Bezeichnung berechtigte Person")</f>
        <v>Name/Bezeichnung berechtigte Person</v>
      </c>
      <c r="B8" s="247" t="str">
        <f>Hauptblatt!C11</f>
        <v>Franziska</v>
      </c>
    </row>
    <row r="9" spans="1:6" x14ac:dyDescent="0.25">
      <c r="A9" s="179" t="str">
        <f>IF($D$1="f","Année de naissance de l'ayant droit","Jahrgang berechtigte Person")</f>
        <v>Jahrgang berechtigte Person</v>
      </c>
      <c r="B9" s="206">
        <f>Hauptblatt!C12</f>
        <v>1978</v>
      </c>
    </row>
    <row r="10" spans="1:6" ht="26.4" x14ac:dyDescent="0.25">
      <c r="A10" s="177" t="str">
        <f>IF($D$1="f","Taux global de cotisation employé pour élever le revenu net au revenu brut","AN-Beiträge pauschal zur Erhöhung
Netto- auf Bruttoeinkommen")</f>
        <v>AN-Beiträge pauschal zur Erhöhung
Netto- auf Bruttoeinkommen</v>
      </c>
      <c r="B10" s="178">
        <v>0.13</v>
      </c>
    </row>
    <row r="11" spans="1:6" ht="26.4" x14ac:dyDescent="0.25">
      <c r="A11" s="177" t="str">
        <f>IF($D$1="f","Taux de cotisation AVS paritaire du revenu brut","Beitragssatz AHV paritätisch vom Bruttoeinkommen")</f>
        <v>Beitragssatz AHV paritätisch vom Bruttoeinkommen</v>
      </c>
      <c r="B11" s="178">
        <v>4.3499999999999997E-2</v>
      </c>
    </row>
    <row r="12" spans="1:6" x14ac:dyDescent="0.25">
      <c r="A12" s="177" t="str">
        <f>IF($D$1="f","Bonifications pour tâches éducatives AVS","Erziehungsgutschriften AHV")</f>
        <v>Erziehungsgutschriften AHV</v>
      </c>
      <c r="B12" s="209">
        <v>0</v>
      </c>
      <c r="C12" s="208">
        <v>0</v>
      </c>
    </row>
    <row r="13" spans="1:6" ht="26.4" x14ac:dyDescent="0.25">
      <c r="A13" s="179" t="str">
        <f>IF($D$1="f","Taux de cotisation LPP paritaire du revenu brut coordonné","Beitragssatz BVG paritätisch vom koordinierten Bruttoeinkommen")</f>
        <v>Beitragssatz BVG paritätisch vom koordinierten Bruttoeinkommen</v>
      </c>
      <c r="B13" s="180">
        <v>7.4999999999999997E-2</v>
      </c>
    </row>
    <row r="14" spans="1:6" x14ac:dyDescent="0.25">
      <c r="A14" s="179" t="str">
        <f>IF($D$1="f","Déduction de coordination LPP","Koordinationsabzug BVG")</f>
        <v>Koordinationsabzug BVG</v>
      </c>
      <c r="B14" s="299">
        <v>26460</v>
      </c>
    </row>
    <row r="15" spans="1:6" x14ac:dyDescent="0.25">
      <c r="A15" s="179" t="str">
        <f>IF($D$1="f","Seuil d'admission LPP","Eintrittsschwelle BVG")</f>
        <v>Eintrittsschwelle BVG</v>
      </c>
      <c r="B15" s="299">
        <v>22680</v>
      </c>
    </row>
    <row r="16" spans="1:6" x14ac:dyDescent="0.25">
      <c r="A16" s="179" t="str">
        <f>IF($D$1="f","Déduction maximale 3e pilier avec 2e pilier","Maximalabzug 3. Säule mit 2. Säule")</f>
        <v>Maximalabzug 3. Säule mit 2. Säule</v>
      </c>
      <c r="B16" s="299">
        <v>7258</v>
      </c>
    </row>
    <row r="17" spans="1:6" x14ac:dyDescent="0.25">
      <c r="A17" s="179" t="str">
        <f>IF($D$1="f","Déduction maximale 3e pilier sans 2e pilier","Maximalabzug 3. Säule ohne 2. Säule")</f>
        <v>Maximalabzug 3. Säule ohne 2. Säule</v>
      </c>
      <c r="B17" s="299">
        <v>36288</v>
      </c>
    </row>
    <row r="18" spans="1:6" x14ac:dyDescent="0.25">
      <c r="A18" s="179"/>
    </row>
    <row r="19" spans="1:6" x14ac:dyDescent="0.25">
      <c r="A19" s="179" t="str">
        <f>IF($D$1="f","Besoins de base","Grundbedarf")</f>
        <v>Grundbedarf</v>
      </c>
      <c r="B19" s="189">
        <v>4162.495096722083</v>
      </c>
      <c r="D19" s="170" t="str">
        <f>IF(B19=Hilfsblatt!A62,IF($D$1="f","à présent, avec contribution de prévoyance","aktuell, inkl. Vorsorgeunterhalt"),"")</f>
        <v/>
      </c>
    </row>
    <row r="20" spans="1:6" x14ac:dyDescent="0.25">
      <c r="A20" s="179" t="str">
        <f>IF($D$1="f","Part à l'excédent","Überschussanteil")</f>
        <v>Überschussanteil</v>
      </c>
      <c r="B20" s="207">
        <v>750.64788762334456</v>
      </c>
      <c r="D20" s="178" t="s">
        <v>115</v>
      </c>
    </row>
    <row r="21" spans="1:6" x14ac:dyDescent="0.25">
      <c r="A21" s="179" t="str">
        <f>IF($D$1="f","./. Contribution de prévoyance","./. Vorsorgeunterhalt")</f>
        <v>./. Vorsorgeunterhalt</v>
      </c>
      <c r="B21" s="189">
        <v>-601.54011441549267</v>
      </c>
    </row>
    <row r="22" spans="1:6" x14ac:dyDescent="0.25">
      <c r="A22" s="179" t="str">
        <f>IF($D$1="f","./. Contributions l'entretien pour les tiers","./. Unterhaltsbeiträge an Dritte")</f>
        <v>./. Unterhaltsbeiträge an Dritte</v>
      </c>
      <c r="B22" s="189">
        <v>0</v>
      </c>
    </row>
    <row r="23" spans="1:6" x14ac:dyDescent="0.25">
      <c r="A23" s="179"/>
      <c r="B23" s="189"/>
    </row>
    <row r="24" spans="1:6" x14ac:dyDescent="0.25">
      <c r="A24" s="274" t="str">
        <f>IF($D$1="f","Contribution de prévoyance dûe","Gebührender Verbrauchsunterhalt")</f>
        <v>Gebührender Verbrauchsunterhalt</v>
      </c>
      <c r="B24" s="190">
        <v>4311.602869929935</v>
      </c>
    </row>
    <row r="25" spans="1:6" x14ac:dyDescent="0.25">
      <c r="A25" s="179"/>
    </row>
    <row r="26" spans="1:6" s="169" customFormat="1" ht="25.5" customHeight="1" x14ac:dyDescent="0.25">
      <c r="A26" s="275"/>
      <c r="B26" s="277" t="str">
        <f>IF($D$1="f","par mois","pro Monat")</f>
        <v>pro Monat</v>
      </c>
      <c r="C26" s="277" t="str">
        <f>IF($D$1="f","par année","pro Jahr")</f>
        <v>pro Jahr</v>
      </c>
      <c r="D26" s="277" t="str">
        <f>IF($D$1="f","Base de Calcul","Basis")</f>
        <v>Basis</v>
      </c>
      <c r="E26" s="278" t="str">
        <f>IF($D$1="f","Taux","Satz")</f>
        <v>Satz</v>
      </c>
      <c r="F26" s="279" t="str">
        <f>IF($D$1="f","Déduction de coordination","Koord-abzug")</f>
        <v>Koord-abzug</v>
      </c>
    </row>
    <row r="27" spans="1:6" x14ac:dyDescent="0.25">
      <c r="A27" s="179"/>
    </row>
    <row r="28" spans="1:6" x14ac:dyDescent="0.25">
      <c r="A28" s="179" t="str">
        <f>IF($D$1="f","Contribution de prévoyance nette dûe","Gebührender Verbrauchsunterhalt netto")</f>
        <v>Gebührender Verbrauchsunterhalt netto</v>
      </c>
      <c r="B28" s="207">
        <v>4311.602869929935</v>
      </c>
      <c r="C28" s="170">
        <v>51739.23443915922</v>
      </c>
    </row>
    <row r="29" spans="1:6" s="173" customFormat="1" x14ac:dyDescent="0.25">
      <c r="A29" s="274" t="str">
        <f>IF($D$1="f","Contribution de prévoyance brutte dûe","Gebührender Verbrauchsunterhalt brutto")</f>
        <v>Gebührender Verbrauchsunterhalt brutto</v>
      </c>
      <c r="B29" s="182">
        <v>4955.8653677355578</v>
      </c>
      <c r="C29" s="182">
        <v>59470.384412826694</v>
      </c>
      <c r="D29" s="182"/>
      <c r="E29" s="183"/>
      <c r="F29" s="182"/>
    </row>
    <row r="30" spans="1:6" x14ac:dyDescent="0.25">
      <c r="A30" s="179" t="str">
        <f>IF($D$1="f","Cotisations AVS employé/employeur dûes","AHV-Beiträge AN/AG gebührend")</f>
        <v>AHV-Beiträge AN/AG gebührend</v>
      </c>
      <c r="B30" s="170">
        <v>431.16028699299346</v>
      </c>
      <c r="C30" s="170">
        <v>5173.9234439159218</v>
      </c>
      <c r="D30" s="170">
        <v>59470.384412826694</v>
      </c>
      <c r="E30" s="181">
        <v>8.6999999999999994E-2</v>
      </c>
    </row>
    <row r="31" spans="1:6" x14ac:dyDescent="0.25">
      <c r="A31" s="179" t="str">
        <f>IF($D$1="f","Cotisations LPP employé/employeur dûes","BVG-Beiträge AN/AG gebührend")</f>
        <v>BVG-Beiträge AN/AG gebührend</v>
      </c>
      <c r="B31" s="170">
        <v>412.62980516033366</v>
      </c>
      <c r="C31" s="170">
        <v>4951.5576619240037</v>
      </c>
      <c r="D31" s="170">
        <v>33010.384412826694</v>
      </c>
      <c r="E31" s="181">
        <v>0.15</v>
      </c>
      <c r="F31" s="170">
        <v>26460</v>
      </c>
    </row>
    <row r="32" spans="1:6" x14ac:dyDescent="0.25">
      <c r="A32" s="179"/>
      <c r="E32" s="181"/>
      <c r="F32" s="170"/>
    </row>
    <row r="33" spans="1:6" x14ac:dyDescent="0.25">
      <c r="A33" s="179" t="str">
        <f>IF($D$1="f","Revenu net effectif","Effektives Einkommen netto")</f>
        <v>Effektives Einkommen netto</v>
      </c>
      <c r="B33" s="207">
        <v>1950</v>
      </c>
      <c r="C33" s="170">
        <v>23400</v>
      </c>
      <c r="E33" s="181"/>
    </row>
    <row r="34" spans="1:6" s="173" customFormat="1" x14ac:dyDescent="0.25">
      <c r="A34" s="274" t="str">
        <f>IF($D$1="f","Revenu brut effectif","Effektives Einkommen brutto")</f>
        <v>Effektives Einkommen brutto</v>
      </c>
      <c r="B34" s="182">
        <v>2241.3793103448274</v>
      </c>
      <c r="C34" s="182">
        <v>26896.551724137928</v>
      </c>
      <c r="D34" s="182"/>
      <c r="E34" s="183"/>
      <c r="F34" s="182"/>
    </row>
    <row r="35" spans="1:6" x14ac:dyDescent="0.25">
      <c r="A35" s="179" t="str">
        <f>IF($D$1="f","Cotisations AVS employé/employeur effective","AHV-Beiträge AN/AG effektiv")</f>
        <v>AHV-Beiträge AN/AG effektiv</v>
      </c>
      <c r="B35" s="170">
        <v>194.99999999999997</v>
      </c>
      <c r="C35" s="170">
        <v>2339.9999999999995</v>
      </c>
      <c r="D35" s="170">
        <v>26896.551724137928</v>
      </c>
      <c r="E35" s="181">
        <v>8.6999999999999994E-2</v>
      </c>
    </row>
    <row r="36" spans="1:6" x14ac:dyDescent="0.25">
      <c r="A36" s="179" t="str">
        <f>IF($D$1="f","Cotisation LPP employé/employeur effective","BVG-Beiträge AN/AG effektiv")</f>
        <v>BVG-Beiträge AN/AG effektiv</v>
      </c>
      <c r="B36" s="170">
        <v>47.25</v>
      </c>
      <c r="C36" s="170">
        <v>567</v>
      </c>
      <c r="D36" s="170">
        <v>3780</v>
      </c>
      <c r="E36" s="181">
        <v>0.15</v>
      </c>
      <c r="F36" s="170">
        <v>26460</v>
      </c>
    </row>
    <row r="37" spans="1:6" x14ac:dyDescent="0.25">
      <c r="A37" s="179"/>
      <c r="F37" s="170"/>
    </row>
    <row r="38" spans="1:6" x14ac:dyDescent="0.25">
      <c r="A38" s="179" t="str">
        <f>IF($D$1="f","Cotisations de prévoyance employé/employeur dûes","Vorsorgebeiträge AN/AG gebührend")</f>
        <v>Vorsorgebeiträge AN/AG gebührend</v>
      </c>
      <c r="B38" s="170">
        <v>843.79009215332701</v>
      </c>
      <c r="C38" s="170">
        <v>10125.481105839925</v>
      </c>
      <c r="F38" s="170"/>
    </row>
    <row r="39" spans="1:6" x14ac:dyDescent="0.25">
      <c r="A39" s="179" t="str">
        <f>IF($D$1="f","./. Cotisations de prévoyance employé/employeur effective","./. Vorsorgebeiträge AN/AG effektiv")</f>
        <v>./. Vorsorgebeiträge AN/AG effektiv</v>
      </c>
      <c r="B39" s="170">
        <v>-242.24999999999997</v>
      </c>
      <c r="C39" s="170">
        <v>-2906.9999999999995</v>
      </c>
      <c r="F39" s="170"/>
    </row>
    <row r="40" spans="1:6" x14ac:dyDescent="0.25">
      <c r="A40" s="179"/>
      <c r="F40" s="170"/>
    </row>
    <row r="41" spans="1:6" x14ac:dyDescent="0.25">
      <c r="A41" s="179" t="str">
        <f>IF($D$1="f","Lacunes de cotisation AVS","Beitragslücke AHV")</f>
        <v>Beitragslücke AHV</v>
      </c>
      <c r="B41" s="170">
        <v>236.16028699299352</v>
      </c>
      <c r="C41" s="170">
        <v>2833.9234439159222</v>
      </c>
      <c r="F41" s="170"/>
    </row>
    <row r="42" spans="1:6" x14ac:dyDescent="0.25">
      <c r="A42" s="179" t="str">
        <f>IF($D$1="f","Lacunes de cotisation LPP","Beitragslücke BVG")</f>
        <v>Beitragslücke BVG</v>
      </c>
      <c r="B42" s="170">
        <v>365.37980516033366</v>
      </c>
      <c r="C42" s="170">
        <v>4384.5576619240037</v>
      </c>
      <c r="F42" s="170"/>
    </row>
    <row r="43" spans="1:6" x14ac:dyDescent="0.25">
      <c r="A43" s="179"/>
    </row>
    <row r="44" spans="1:6" s="184" customFormat="1" ht="25.5" customHeight="1" x14ac:dyDescent="0.25">
      <c r="A44" s="276" t="str">
        <f>IF($D$1="f","Somme des lacunes de cotisation = Contribution de prévoyance","Beitragslücke total = Vorsorgeunterhalt")</f>
        <v>Beitragslücke total = Vorsorgeunterhalt</v>
      </c>
      <c r="B44" s="185">
        <v>601.54009215332712</v>
      </c>
      <c r="C44" s="185">
        <v>7218.4811058399264</v>
      </c>
      <c r="D44" s="185"/>
      <c r="E44" s="186"/>
    </row>
  </sheetData>
  <phoneticPr fontId="29" type="noConversion"/>
  <dataValidations count="2">
    <dataValidation type="list" allowBlank="1" showInputMessage="1" sqref="C12" xr:uid="{00000000-0002-0000-0400-000000000000}">
      <formula1>"0%,50%,100%"</formula1>
    </dataValidation>
    <dataValidation type="list" allowBlank="1" showInputMessage="1" showErrorMessage="1" sqref="D20" xr:uid="{00000000-0002-0000-0400-000001000000}">
      <formula1>"vor Trennung/avant séparation,aktuell/à présent"</formula1>
    </dataValidation>
  </dataValidations>
  <hyperlinks>
    <hyperlink ref="F1" r:id="rId1" display="© www.berechnungsblaetter.ch 01.01" xr:uid="{00000000-0004-0000-0400-000000000000}"/>
    <hyperlink ref="D4" r:id="rId2" xr:uid="{00000000-0004-0000-0400-000001000000}"/>
    <hyperlink ref="D5" r:id="rId3" xr:uid="{00000000-0004-0000-0400-000002000000}"/>
  </hyperlinks>
  <pageMargins left="0.78740157499999996" right="0.78740157499999996" top="0.71" bottom="0.984251969" header="0.4921259845" footer="0.4921259845"/>
  <pageSetup paperSize="9" scale="80" orientation="portrait" blackAndWhite="1" r:id="rId4"/>
  <headerFooter alignWithMargins="0">
    <oddFooter>&amp;C&amp;8&amp;D</oddFooter>
  </headerFooter>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F56"/>
  <sheetViews>
    <sheetView workbookViewId="0">
      <selection activeCell="A2" sqref="A2"/>
      <extLst>
        <ext xmlns:xlsdti="http://schemas.microsoft.com/office/spreadsheetml/2023/showDataTypeIcons" uri="{77bfe23e-c014-4d31-8a63-9c772dbf06b6}">
          <xlsdti:showDataTypeIcons visible="0"/>
        </ext>
      </extLst>
    </sheetView>
  </sheetViews>
  <sheetFormatPr baseColWidth="10" defaultColWidth="11.44140625" defaultRowHeight="13.2" x14ac:dyDescent="0.25"/>
  <cols>
    <col min="1" max="1" width="61.6640625" style="1" customWidth="1"/>
    <col min="2" max="2" width="15.88671875" style="32" customWidth="1"/>
    <col min="3" max="3" width="4" style="1" customWidth="1"/>
    <col min="4" max="4" width="15.88671875" style="1" customWidth="1"/>
    <col min="5" max="5" width="4.5546875" style="1" customWidth="1"/>
    <col min="6" max="16384" width="11.44140625" style="1"/>
  </cols>
  <sheetData>
    <row r="1" spans="1:6" x14ac:dyDescent="0.25">
      <c r="A1" s="80" t="str">
        <f>Steuerangaben!A1</f>
        <v>Autoren: Daniel Bähler und Annette Spycher</v>
      </c>
      <c r="D1" s="23" t="s">
        <v>68</v>
      </c>
      <c r="E1" s="1" t="str">
        <f>Steuerangaben!D1</f>
        <v>d</v>
      </c>
    </row>
    <row r="2" spans="1:6" x14ac:dyDescent="0.25">
      <c r="A2" s="81"/>
    </row>
    <row r="3" spans="1:6" ht="15.6" x14ac:dyDescent="0.3">
      <c r="A3" s="82" t="str">
        <f>IF($E$1="f","Calcul des impôts directs","Berechnung direkte Steuern")</f>
        <v>Berechnung direkte Steuern</v>
      </c>
      <c r="B3" s="135">
        <f>Steuerangaben!F3</f>
        <v>2026</v>
      </c>
      <c r="D3" s="136" t="str">
        <f>IF($E$1="f","sans garantie","ohne Gewähr")</f>
        <v>ohne Gewähr</v>
      </c>
    </row>
    <row r="4" spans="1:6" x14ac:dyDescent="0.25">
      <c r="A4" s="83"/>
      <c r="B4" s="1"/>
    </row>
    <row r="5" spans="1:6" x14ac:dyDescent="0.25">
      <c r="A5" s="83" t="str">
        <f>CONCATENATE(Hilfsblatt!A7," ",Hilfsblatt!B7)</f>
        <v>Namen: Martin und Franziska</v>
      </c>
      <c r="B5" s="20" t="str">
        <f>Steuerangaben!B5</f>
        <v>Franziska</v>
      </c>
      <c r="D5" s="20" t="str">
        <f>Steuerangaben!E5</f>
        <v>Martin</v>
      </c>
    </row>
    <row r="6" spans="1:6" x14ac:dyDescent="0.25">
      <c r="A6" s="81"/>
      <c r="B6" s="24" t="str">
        <f>IF($E$1="f","Canton:","Kanton:")</f>
        <v>Kanton:</v>
      </c>
      <c r="C6" s="38" t="str">
        <f>Steuerangaben!C6</f>
        <v>BE</v>
      </c>
      <c r="D6" s="24" t="str">
        <f>IF($E$1="f","Canton:","Kanton:")</f>
        <v>Kanton:</v>
      </c>
      <c r="E6" s="94" t="str">
        <f>Steuerangaben!F6</f>
        <v>BE</v>
      </c>
      <c r="F6" s="26"/>
    </row>
    <row r="7" spans="1:6" x14ac:dyDescent="0.25">
      <c r="A7" s="81"/>
      <c r="B7" s="26" t="str">
        <f>IF($E$1="f","Seule:","Alleinstehend:")</f>
        <v>Alleinstehend:</v>
      </c>
      <c r="C7" s="78" t="str">
        <f>IF(Steuerangaben!C7="","",Steuerangaben!C7)</f>
        <v/>
      </c>
      <c r="D7" s="26" t="str">
        <f>IF($E$1="f","Seul:","Alleinstehend:")</f>
        <v>Alleinstehend:</v>
      </c>
      <c r="E7" s="78" t="str">
        <f>IF(Steuerangaben!F7="","",Steuerangaben!F7)</f>
        <v>x</v>
      </c>
    </row>
    <row r="8" spans="1:6" x14ac:dyDescent="0.25">
      <c r="B8" s="26" t="str">
        <f>IF($E$1="f","Mariée/+ enfant:","Verh./mit Kind:")</f>
        <v>Verh./mit Kind:</v>
      </c>
      <c r="C8" s="78" t="str">
        <f>IF(Steuerangaben!C8="","",Steuerangaben!C8)</f>
        <v>x</v>
      </c>
      <c r="D8" s="26" t="str">
        <f>IF($E$1="f","Marié/+ enfant:","Verh./mit Kind:")</f>
        <v>Verh./mit Kind:</v>
      </c>
      <c r="E8" s="78" t="str">
        <f>IF(Steuerangaben!F8="","",Steuerangaben!F8)</f>
        <v/>
      </c>
    </row>
    <row r="9" spans="1:6" x14ac:dyDescent="0.25">
      <c r="B9" s="24" t="str">
        <f>IF($E$1="f","Confédération:","Bund:")</f>
        <v>Bund:</v>
      </c>
      <c r="C9" s="79"/>
      <c r="D9" s="24" t="str">
        <f>IF($E$1="f","Confédération:","Bund:")</f>
        <v>Bund:</v>
      </c>
      <c r="E9" s="79"/>
    </row>
    <row r="10" spans="1:6" x14ac:dyDescent="0.25">
      <c r="B10" s="26" t="str">
        <f>IF($E$1="f","Seule:","Alleinstehend:")</f>
        <v>Alleinstehend:</v>
      </c>
      <c r="C10" s="78" t="str">
        <f>IF(Steuerangaben!C10="","",Steuerangaben!C10)</f>
        <v/>
      </c>
      <c r="D10" s="26" t="str">
        <f>IF($E$1="f","Seul:","Alleinstehend:")</f>
        <v>Alleinstehend:</v>
      </c>
      <c r="E10" s="78" t="str">
        <f>IF(Steuerangaben!F10="","",Steuerangaben!F10)</f>
        <v>x</v>
      </c>
    </row>
    <row r="11" spans="1:6" x14ac:dyDescent="0.25">
      <c r="B11" s="26" t="str">
        <f>IF($E$1="f","Mariée/+ enfant:","Verh./mit Kind:")</f>
        <v>Verh./mit Kind:</v>
      </c>
      <c r="C11" s="77" t="str">
        <f>IF(Steuerangaben!C11="","",Steuerangaben!C11)</f>
        <v>x</v>
      </c>
      <c r="D11" s="26" t="str">
        <f>IF($E$1="f","Marié/+ enfant:","Verh./mit Kind:")</f>
        <v>Verh./mit Kind:</v>
      </c>
      <c r="E11" s="77" t="str">
        <f>IF(Steuerangaben!F11="","",Steuerangaben!F11)</f>
        <v/>
      </c>
      <c r="F11" s="38" t="str">
        <f>IF(F60="","","x")</f>
        <v/>
      </c>
    </row>
    <row r="12" spans="1:6" x14ac:dyDescent="0.25">
      <c r="B12" s="31"/>
      <c r="D12" s="31"/>
    </row>
    <row r="13" spans="1:6" x14ac:dyDescent="0.25">
      <c r="A13" s="1" t="str">
        <f>IF($E$1="f","Revenu imposable canton:","Steuerbares Einkommen Kanton:")</f>
        <v>Steuerbares Einkommen Kanton:</v>
      </c>
      <c r="B13" s="76">
        <v>54795.682725533959</v>
      </c>
      <c r="C13" s="12"/>
      <c r="D13" s="76">
        <v>42277.585901480124</v>
      </c>
    </row>
    <row r="14" spans="1:6" x14ac:dyDescent="0.25">
      <c r="A14" s="1" t="str">
        <f>IF($E$1="f","Revenu imposable Confédération:","Steuerbares Einkommen Bund:")</f>
        <v>Steuerbares Einkommen Bund:</v>
      </c>
      <c r="B14" s="76">
        <v>68745.682725533959</v>
      </c>
      <c r="C14" s="12"/>
      <c r="D14" s="76">
        <v>50627.585901480124</v>
      </c>
    </row>
    <row r="15" spans="1:6" x14ac:dyDescent="0.25">
      <c r="A15" s="1" t="str">
        <f>IF($E$1="f","Fortune imposable:","Steuerbares Vermögen:")</f>
        <v>Steuerbares Vermögen:</v>
      </c>
      <c r="B15" s="76">
        <v>0</v>
      </c>
      <c r="C15" s="12"/>
      <c r="D15" s="76">
        <v>0</v>
      </c>
    </row>
    <row r="16" spans="1:6" x14ac:dyDescent="0.25">
      <c r="B16" s="31"/>
      <c r="D16" s="31"/>
    </row>
    <row r="17" spans="1:4" x14ac:dyDescent="0.25">
      <c r="A17" s="1" t="str">
        <f>IF($E$1="f","Quotité de l'impôt cantonal revenu:","Steueranlage/Steuerfuss Kanton Einkommen:")</f>
        <v>Steueranlage/Steuerfuss Kanton Einkommen:</v>
      </c>
      <c r="B17" s="319">
        <v>297.5</v>
      </c>
      <c r="C17" s="320"/>
      <c r="D17" s="319">
        <v>297.5</v>
      </c>
    </row>
    <row r="18" spans="1:4" x14ac:dyDescent="0.25">
      <c r="A18" s="1" t="str">
        <f>IF($E$1="f","Quotité de l'impôt cantonal fortune:","Steueranlage/Steuerfuss Kanton Vermögen:")</f>
        <v>Steueranlage/Steuerfuss Kanton Vermögen:</v>
      </c>
      <c r="B18" s="319">
        <v>297.5</v>
      </c>
      <c r="C18" s="320"/>
      <c r="D18" s="319">
        <v>297.5</v>
      </c>
    </row>
    <row r="19" spans="1:4" x14ac:dyDescent="0.25">
      <c r="A19" s="1" t="str">
        <f>IF($E$1="f","Quotité de l'impôt communal revenu:","Steueranlage/Steuerfuss Gemeinde Einkommen:")</f>
        <v>Steueranlage/Steuerfuss Gemeinde Einkommen:</v>
      </c>
      <c r="B19" s="319">
        <v>170</v>
      </c>
      <c r="C19" s="320"/>
      <c r="D19" s="319">
        <v>170</v>
      </c>
    </row>
    <row r="20" spans="1:4" x14ac:dyDescent="0.25">
      <c r="A20" s="1" t="str">
        <f>IF($E$1="f","Quotité de l'impôt communal fortune:","Steueranlage/Steuerfuss Gemeinde Vermögen:")</f>
        <v>Steueranlage/Steuerfuss Gemeinde Vermögen:</v>
      </c>
      <c r="B20" s="319">
        <v>170</v>
      </c>
      <c r="C20" s="320"/>
      <c r="D20" s="319">
        <v>170</v>
      </c>
    </row>
    <row r="21" spans="1:4" x14ac:dyDescent="0.25">
      <c r="A21" s="1" t="str">
        <f>IF($E$1="f","Quotité de l'impôt ecclésiastique revenu:","Steueranlage/Steuerfuss Kirche Einkommen:")</f>
        <v>Steueranlage/Steuerfuss Kirche Einkommen:</v>
      </c>
      <c r="B21" s="352">
        <v>20</v>
      </c>
      <c r="C21" s="320"/>
      <c r="D21" s="352">
        <v>20</v>
      </c>
    </row>
    <row r="22" spans="1:4" x14ac:dyDescent="0.25">
      <c r="A22" s="1" t="str">
        <f>IF($E$1="f","Quotité de l'impôt ecclésiastique fortune:","Steueranlage/Steuerfuss Kirche Vermögen:")</f>
        <v>Steueranlage/Steuerfuss Kirche Vermögen:</v>
      </c>
      <c r="B22" s="352">
        <v>20</v>
      </c>
      <c r="C22" s="320"/>
      <c r="D22" s="352">
        <v>20</v>
      </c>
    </row>
    <row r="23" spans="1:4" x14ac:dyDescent="0.25">
      <c r="B23" s="31"/>
      <c r="D23" s="31"/>
    </row>
    <row r="24" spans="1:4" x14ac:dyDescent="0.25">
      <c r="A24" s="1" t="str">
        <f>IF($E$1="f","Impôt sur le revenu cantonal:","Einkommenssteuer Kanton:")</f>
        <v>Einkommenssteuer Kanton:</v>
      </c>
      <c r="B24" s="31">
        <v>5403.4925000000003</v>
      </c>
      <c r="D24" s="31">
        <v>4798.5262499999999</v>
      </c>
    </row>
    <row r="25" spans="1:4" x14ac:dyDescent="0.25">
      <c r="A25" s="1" t="str">
        <f>IF($E$1="f","Impôt sur le revenu communal:","Einkommenssteuer Gemeinde:")</f>
        <v>Einkommenssteuer Gemeinde:</v>
      </c>
      <c r="B25" s="31">
        <v>3087.71</v>
      </c>
      <c r="D25" s="31">
        <v>2742.0149999999994</v>
      </c>
    </row>
    <row r="26" spans="1:4" x14ac:dyDescent="0.25">
      <c r="A26" s="1" t="str">
        <f>IF($E$1="f","Impôt sur le revenu ecclésiastique:","Einkommenssteuer Kirche:")</f>
        <v>Einkommenssteuer Kirche:</v>
      </c>
      <c r="B26" s="31">
        <v>363.26</v>
      </c>
      <c r="D26" s="31">
        <v>322.58999999999997</v>
      </c>
    </row>
    <row r="27" spans="1:4" x14ac:dyDescent="0.25">
      <c r="A27" s="1" t="str">
        <f>IF($E$1="f","./. Déduction du montant de l'impôt 1:","./. Abzug vom Steuerbetrag 1:")</f>
        <v>./. Abzug vom Steuerbetrag 1:</v>
      </c>
      <c r="B27" s="157" t="s">
        <v>190</v>
      </c>
      <c r="D27" s="157" t="s">
        <v>190</v>
      </c>
    </row>
    <row r="28" spans="1:4" x14ac:dyDescent="0.25">
      <c r="A28" s="1" t="str">
        <f>IF($E$1="f","./. Déduction du montant de l'impôt 2:","./. Abzug vom Steuerbetrag 2:")</f>
        <v>./. Abzug vom Steuerbetrag 2:</v>
      </c>
      <c r="B28" s="157" t="s">
        <v>190</v>
      </c>
      <c r="D28" s="157" t="s">
        <v>190</v>
      </c>
    </row>
    <row r="29" spans="1:4" s="2" customFormat="1" x14ac:dyDescent="0.25">
      <c r="A29" s="2" t="str">
        <f>IF($E$1="f","Total des impôts sur le revenu cantonaux, communaux, ecclésiastiques:","Einkommenssteuern Kanton, Gemeinde, Kirche total:")</f>
        <v>Einkommenssteuern Kanton, Gemeinde, Kirche total:</v>
      </c>
      <c r="B29" s="29">
        <v>8854.4624999999996</v>
      </c>
      <c r="D29" s="29">
        <v>7863.1312499999995</v>
      </c>
    </row>
    <row r="30" spans="1:4" x14ac:dyDescent="0.25">
      <c r="B30" s="31"/>
      <c r="D30" s="31"/>
    </row>
    <row r="31" spans="1:4" x14ac:dyDescent="0.25">
      <c r="A31" s="1" t="str">
        <f>IF($E$1="f","Impôt sur la fortune cantonal:","Vermögenssteuer Kanton:")</f>
        <v>Vermögenssteuer Kanton:</v>
      </c>
      <c r="B31" s="31">
        <v>0</v>
      </c>
      <c r="D31" s="31">
        <v>0</v>
      </c>
    </row>
    <row r="32" spans="1:4" x14ac:dyDescent="0.25">
      <c r="A32" s="1" t="str">
        <f>IF($E$1="f","Impôt sur la fortune communal:","Vermögenssteuer Gemeinde:")</f>
        <v>Vermögenssteuer Gemeinde:</v>
      </c>
      <c r="B32" s="31">
        <v>0</v>
      </c>
      <c r="D32" s="31">
        <v>0</v>
      </c>
    </row>
    <row r="33" spans="1:4" x14ac:dyDescent="0.25">
      <c r="A33" s="1" t="str">
        <f>IF($E$1="f","Impôt sur la fortune ecclésiastique:","Vermögenssteuer Kirche:")</f>
        <v>Vermögenssteuer Kirche:</v>
      </c>
      <c r="B33" s="31">
        <v>0</v>
      </c>
      <c r="D33" s="31">
        <v>0</v>
      </c>
    </row>
    <row r="34" spans="1:4" x14ac:dyDescent="0.25">
      <c r="A34" s="1" t="str">
        <f>IF($E$1="f","./. Déduction du montant de l'impôt 1:","./. Abzug vom Steuerbetrag 1:")</f>
        <v>./. Abzug vom Steuerbetrag 1:</v>
      </c>
      <c r="B34" s="157" t="s">
        <v>190</v>
      </c>
      <c r="D34" s="157" t="s">
        <v>190</v>
      </c>
    </row>
    <row r="35" spans="1:4" x14ac:dyDescent="0.25">
      <c r="A35" s="1" t="str">
        <f>IF($E$1="f","./. Déduction du montant de l'impôt 2:","./. Abzug vom Steuerbetrag 2:")</f>
        <v>./. Abzug vom Steuerbetrag 2:</v>
      </c>
      <c r="B35" s="157" t="s">
        <v>190</v>
      </c>
      <c r="D35" s="157" t="s">
        <v>190</v>
      </c>
    </row>
    <row r="36" spans="1:4" s="2" customFormat="1" x14ac:dyDescent="0.25">
      <c r="A36" s="2" t="str">
        <f>IF($E$1="f","Total des impôts sur la fortune cantonaux, communaux, ecclésiastiques:","Vermögenssteuern Kanton, Gemeinde, Kirche total:")</f>
        <v>Vermögenssteuern Kanton, Gemeinde, Kirche total:</v>
      </c>
      <c r="B36" s="29">
        <v>0</v>
      </c>
      <c r="D36" s="29">
        <v>0</v>
      </c>
    </row>
    <row r="37" spans="1:4" s="2" customFormat="1" x14ac:dyDescent="0.25">
      <c r="B37" s="29"/>
      <c r="D37" s="29"/>
    </row>
    <row r="38" spans="1:4" x14ac:dyDescent="0.25">
      <c r="A38" s="35" t="str">
        <f>IF($E$1="f","Impôt personnel cantonal:","Personalsteuer Kanton:")</f>
        <v>Personalsteuer Kanton:</v>
      </c>
      <c r="B38" s="75">
        <v>0</v>
      </c>
      <c r="D38" s="75">
        <v>0</v>
      </c>
    </row>
    <row r="39" spans="1:4" x14ac:dyDescent="0.25">
      <c r="A39" s="35" t="str">
        <f>IF($E$1="f","Impôt personnel communal:","Personalsteuer Gemeinde:")</f>
        <v>Personalsteuer Gemeinde:</v>
      </c>
      <c r="B39" s="75">
        <v>0</v>
      </c>
      <c r="D39" s="75">
        <v>0</v>
      </c>
    </row>
    <row r="40" spans="1:4" s="2" customFormat="1" x14ac:dyDescent="0.25">
      <c r="B40" s="29"/>
      <c r="D40" s="29"/>
    </row>
    <row r="41" spans="1:4" s="2" customFormat="1" x14ac:dyDescent="0.25">
      <c r="A41" s="1" t="str">
        <f>IF($E$1="f","Autres contributions communales:","Weitere Gemeindeabgaben:")</f>
        <v>Weitere Gemeindeabgaben:</v>
      </c>
      <c r="B41" s="75">
        <v>0</v>
      </c>
      <c r="D41" s="75">
        <v>0</v>
      </c>
    </row>
    <row r="42" spans="1:4" x14ac:dyDescent="0.25">
      <c r="B42" s="31"/>
      <c r="D42" s="31"/>
    </row>
    <row r="43" spans="1:4" s="2" customFormat="1" x14ac:dyDescent="0.25">
      <c r="A43" s="2" t="str">
        <f>IF($E$1="f","Total des impôts cantonaux, communaux, ecclésiastiques:","Steuern Kanton, Gemeinde, Kirche total:")</f>
        <v>Steuern Kanton, Gemeinde, Kirche total:</v>
      </c>
      <c r="B43" s="29">
        <v>8854.4624999999996</v>
      </c>
      <c r="D43" s="29">
        <v>7863.1312499999995</v>
      </c>
    </row>
    <row r="44" spans="1:4" x14ac:dyDescent="0.25">
      <c r="B44" s="31"/>
      <c r="D44" s="31"/>
    </row>
    <row r="45" spans="1:4" x14ac:dyDescent="0.25">
      <c r="A45" s="1" t="str">
        <f>IF($E$1="f","Impôt fédéral direct selon tarif:","Direkte Bundessteuer nach Tarif:")</f>
        <v>Direkte Bundessteuer nach Tarif:</v>
      </c>
      <c r="B45" s="31">
        <v>617</v>
      </c>
      <c r="D45" s="31">
        <v>416.68</v>
      </c>
    </row>
    <row r="46" spans="1:4" x14ac:dyDescent="0.25">
      <c r="A46" s="1" t="str">
        <f>IF($E$1="f","./. Déduction tarif parents:","./. Abzug Elterntarif:")</f>
        <v>./. Abzug Elterntarif:</v>
      </c>
      <c r="B46" s="31">
        <v>-526</v>
      </c>
      <c r="D46" s="31">
        <v>0</v>
      </c>
    </row>
    <row r="47" spans="1:4" x14ac:dyDescent="0.25">
      <c r="B47" s="31"/>
      <c r="D47" s="31"/>
    </row>
    <row r="48" spans="1:4" s="2" customFormat="1" x14ac:dyDescent="0.25">
      <c r="A48" s="2" t="str">
        <f>IF($E$1="f","Somme de l'impôt fédéral direct:","Direkte Bundessteuer total:")</f>
        <v>Direkte Bundessteuer total:</v>
      </c>
      <c r="B48" s="29">
        <v>91</v>
      </c>
      <c r="D48" s="29">
        <v>416.68</v>
      </c>
    </row>
    <row r="49" spans="1:4" s="12" customFormat="1" x14ac:dyDescent="0.25">
      <c r="A49" s="1"/>
      <c r="B49" s="31"/>
      <c r="C49" s="1"/>
      <c r="D49" s="31"/>
    </row>
    <row r="50" spans="1:4" x14ac:dyDescent="0.25">
      <c r="A50" s="12" t="str">
        <f>IF($E$1="f","Total de la charge fiscale annuelle:","Steuerbelastung pro Jahr total:")</f>
        <v>Steuerbelastung pro Jahr total:</v>
      </c>
      <c r="B50" s="20">
        <v>8945.4624999999996</v>
      </c>
      <c r="C50" s="12"/>
      <c r="D50" s="20">
        <v>8279.8112499999988</v>
      </c>
    </row>
    <row r="51" spans="1:4" s="12" customFormat="1" x14ac:dyDescent="0.25">
      <c r="A51" s="1"/>
      <c r="B51" s="31"/>
      <c r="C51" s="1"/>
      <c r="D51" s="31"/>
    </row>
    <row r="52" spans="1:4" s="12" customFormat="1" x14ac:dyDescent="0.25">
      <c r="A52" s="12" t="str">
        <f>IF($E$1="f","Total de la charge fiscale mensuelle:","Steuerbelastung pro Monat total:")</f>
        <v>Steuerbelastung pro Monat total:</v>
      </c>
      <c r="B52" s="20">
        <v>745.4552083333333</v>
      </c>
      <c r="D52" s="20">
        <v>689.9842708333332</v>
      </c>
    </row>
    <row r="53" spans="1:4" s="12" customFormat="1" x14ac:dyDescent="0.25">
      <c r="B53" s="16"/>
    </row>
    <row r="54" spans="1:4" s="12" customFormat="1" x14ac:dyDescent="0.25">
      <c r="A54" s="17" t="str">
        <f>IF($E$1="f","De petites différences d'arrondissement peuvent se produire.","Es können sich geringfügige Rundungsdifferenzen ergeben.")</f>
        <v>Es können sich geringfügige Rundungsdifferenzen ergeben.</v>
      </c>
      <c r="B54" s="16"/>
    </row>
    <row r="55" spans="1:4" x14ac:dyDescent="0.25">
      <c r="B55" s="16"/>
      <c r="C55" s="12"/>
      <c r="D55" s="12"/>
    </row>
    <row r="56" spans="1:4" x14ac:dyDescent="0.25">
      <c r="A56" s="168" t="str">
        <f>Hauptblatt!H1</f>
        <v>© berechnungsblaetter.ch 10.25</v>
      </c>
    </row>
  </sheetData>
  <phoneticPr fontId="0" type="noConversion"/>
  <hyperlinks>
    <hyperlink ref="A56" r:id="rId1" display="© www.berechnungsblaetter.ch 01.01" xr:uid="{00000000-0004-0000-0500-000000000000}"/>
  </hyperlinks>
  <pageMargins left="0.78740157499999996" right="0.78740157499999996" top="0.5" bottom="0.984251969" header="0.4921259845" footer="0.4921259845"/>
  <pageSetup paperSize="9" scale="76" orientation="portrait" blackAndWhite="1" horizontalDpi="300" verticalDpi="300" r:id="rId2"/>
  <headerFooter alignWithMargins="0">
    <oddFooter>&amp;C&amp;D</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pageSetUpPr fitToPage="1"/>
  </sheetPr>
  <dimension ref="A1:Q139"/>
  <sheetViews>
    <sheetView workbookViewId="0">
      <pane xSplit="5" ySplit="5" topLeftCell="F6" activePane="bottomRight" state="frozen"/>
      <selection pane="topRight" activeCell="F1" sqref="F1"/>
      <selection pane="bottomLeft" activeCell="A7" sqref="A7"/>
      <selection pane="bottomRight" activeCell="A3" sqref="A3"/>
      <extLst>
        <ext xmlns:xlsdti="http://schemas.microsoft.com/office/spreadsheetml/2023/showDataTypeIcons" uri="{77bfe23e-c014-4d31-8a63-9c772dbf06b6}">
          <xlsdti:showDataTypeIcons visible="0"/>
        </ext>
      </extLst>
    </sheetView>
  </sheetViews>
  <sheetFormatPr baseColWidth="10" defaultRowHeight="13.2" x14ac:dyDescent="0.25"/>
  <cols>
    <col min="1" max="1" width="45" customWidth="1"/>
    <col min="2" max="2" width="4.109375" style="47" customWidth="1"/>
    <col min="3" max="4" width="9.6640625" style="115" customWidth="1"/>
    <col min="5" max="5" width="3.33203125" style="74" customWidth="1"/>
    <col min="6" max="16" width="8.6640625" style="74" customWidth="1"/>
  </cols>
  <sheetData>
    <row r="1" spans="1:16" ht="17.399999999999999" x14ac:dyDescent="0.3">
      <c r="A1" s="109" t="s">
        <v>48</v>
      </c>
      <c r="B1" s="107"/>
      <c r="C1" s="168" t="str">
        <f>Hauptblatt!H1</f>
        <v>© berechnungsblaetter.ch 10.25</v>
      </c>
    </row>
    <row r="2" spans="1:16" x14ac:dyDescent="0.25">
      <c r="A2" t="s">
        <v>19</v>
      </c>
      <c r="B2" s="108"/>
      <c r="C2" s="228">
        <f>Steuerangaben!F3</f>
        <v>2026</v>
      </c>
    </row>
    <row r="3" spans="1:16" x14ac:dyDescent="0.25">
      <c r="A3" s="83"/>
      <c r="B3" s="108"/>
      <c r="C3" s="116"/>
    </row>
    <row r="4" spans="1:16" x14ac:dyDescent="0.25">
      <c r="A4" s="83" t="str">
        <f>CONCATENATE("Parteien: ",Hilfsblatt!B7)</f>
        <v>Parteien: Martin und Franziska</v>
      </c>
      <c r="B4" s="108"/>
      <c r="C4" s="117" t="str">
        <f>Hauptblatt!C11</f>
        <v>Franziska</v>
      </c>
      <c r="D4" s="117" t="str">
        <f>Hauptblatt!B11</f>
        <v>Martin</v>
      </c>
    </row>
    <row r="5" spans="1:16" s="103" customFormat="1" x14ac:dyDescent="0.25">
      <c r="A5" s="102"/>
      <c r="B5" s="8">
        <v>1</v>
      </c>
      <c r="C5" s="117" t="str">
        <f>Steuerberechnung!C6</f>
        <v>BE</v>
      </c>
      <c r="D5" s="117" t="str">
        <f>Steuerberechnung!E6</f>
        <v>BE</v>
      </c>
      <c r="E5" s="104"/>
      <c r="F5" s="103" t="s">
        <v>60</v>
      </c>
      <c r="G5" s="283" t="s">
        <v>118</v>
      </c>
      <c r="H5" s="103" t="s">
        <v>18</v>
      </c>
      <c r="I5" s="103" t="s">
        <v>71</v>
      </c>
      <c r="J5" s="103" t="s">
        <v>77</v>
      </c>
      <c r="K5" s="103" t="s">
        <v>79</v>
      </c>
      <c r="L5" s="103" t="s">
        <v>86</v>
      </c>
      <c r="M5" s="103" t="s">
        <v>66</v>
      </c>
      <c r="N5" s="103" t="s">
        <v>62</v>
      </c>
      <c r="O5" s="103" t="s">
        <v>26</v>
      </c>
      <c r="P5" s="103" t="s">
        <v>2</v>
      </c>
    </row>
    <row r="6" spans="1:16" s="103" customFormat="1" x14ac:dyDescent="0.25">
      <c r="A6" s="102" t="s">
        <v>88</v>
      </c>
      <c r="B6" s="8">
        <v>2</v>
      </c>
      <c r="C6" s="117"/>
      <c r="D6" s="117"/>
      <c r="E6" s="104"/>
    </row>
    <row r="7" spans="1:16" s="103" customFormat="1" x14ac:dyDescent="0.25">
      <c r="A7" s="10" t="s">
        <v>89</v>
      </c>
      <c r="B7" s="8">
        <v>3</v>
      </c>
      <c r="C7" s="149">
        <v>2</v>
      </c>
      <c r="D7" s="149">
        <v>0</v>
      </c>
      <c r="E7" s="104"/>
    </row>
    <row r="8" spans="1:16" s="103" customFormat="1" x14ac:dyDescent="0.25">
      <c r="A8" s="164" t="s">
        <v>106</v>
      </c>
      <c r="B8" s="8">
        <v>4</v>
      </c>
      <c r="C8" s="149">
        <v>2</v>
      </c>
      <c r="D8" s="149">
        <v>0</v>
      </c>
      <c r="E8" s="104"/>
    </row>
    <row r="9" spans="1:16" s="103" customFormat="1" x14ac:dyDescent="0.25">
      <c r="A9" s="10" t="s">
        <v>90</v>
      </c>
      <c r="B9" s="8">
        <v>5</v>
      </c>
      <c r="C9" s="149">
        <v>1</v>
      </c>
      <c r="D9" s="149">
        <v>0</v>
      </c>
      <c r="E9" s="104"/>
    </row>
    <row r="10" spans="1:16" s="103" customFormat="1" x14ac:dyDescent="0.25">
      <c r="A10" s="164" t="s">
        <v>171</v>
      </c>
      <c r="B10" s="8">
        <v>6</v>
      </c>
      <c r="C10" s="149">
        <v>0</v>
      </c>
      <c r="D10" s="149">
        <v>0</v>
      </c>
      <c r="E10" s="104"/>
    </row>
    <row r="11" spans="1:16" s="4" customFormat="1" x14ac:dyDescent="0.25">
      <c r="A11" s="10"/>
      <c r="B11" s="8">
        <v>7</v>
      </c>
      <c r="C11" s="149"/>
      <c r="D11" s="149"/>
      <c r="E11" s="150"/>
    </row>
    <row r="12" spans="1:16" x14ac:dyDescent="0.25">
      <c r="A12" s="12" t="s">
        <v>102</v>
      </c>
      <c r="B12" s="8">
        <v>8</v>
      </c>
      <c r="C12" s="149"/>
      <c r="D12" s="149"/>
      <c r="E12" s="105"/>
    </row>
    <row r="13" spans="1:16" x14ac:dyDescent="0.25">
      <c r="A13" t="s">
        <v>31</v>
      </c>
      <c r="B13" s="8">
        <v>9</v>
      </c>
      <c r="C13" s="115">
        <v>250</v>
      </c>
      <c r="D13" s="115">
        <v>250</v>
      </c>
      <c r="E13" s="105"/>
      <c r="F13" s="115">
        <v>215</v>
      </c>
      <c r="G13" s="116">
        <v>230</v>
      </c>
      <c r="H13" s="115">
        <v>250</v>
      </c>
      <c r="I13" s="115">
        <v>215</v>
      </c>
      <c r="J13" s="115">
        <v>275</v>
      </c>
      <c r="K13" s="115">
        <v>265</v>
      </c>
      <c r="L13" s="115">
        <v>215</v>
      </c>
      <c r="M13" s="115">
        <v>245</v>
      </c>
      <c r="N13" s="115">
        <v>215</v>
      </c>
      <c r="O13" s="115">
        <v>215</v>
      </c>
      <c r="P13" s="115" t="s">
        <v>6</v>
      </c>
    </row>
    <row r="14" spans="1:16" x14ac:dyDescent="0.25">
      <c r="A14" t="s">
        <v>32</v>
      </c>
      <c r="B14" s="8">
        <v>10</v>
      </c>
      <c r="C14" s="115">
        <v>250</v>
      </c>
      <c r="D14" s="115">
        <v>250</v>
      </c>
      <c r="E14" s="105"/>
      <c r="F14" s="115">
        <v>215</v>
      </c>
      <c r="G14" s="116">
        <v>230</v>
      </c>
      <c r="H14" s="115">
        <v>250</v>
      </c>
      <c r="I14" s="115">
        <v>215</v>
      </c>
      <c r="J14" s="115">
        <v>275</v>
      </c>
      <c r="K14" s="115">
        <v>265</v>
      </c>
      <c r="L14" s="115">
        <v>260</v>
      </c>
      <c r="M14" s="115">
        <v>245</v>
      </c>
      <c r="N14" s="115">
        <v>215</v>
      </c>
      <c r="O14" s="115">
        <v>268</v>
      </c>
      <c r="P14" s="115" t="s">
        <v>6</v>
      </c>
    </row>
    <row r="15" spans="1:16" x14ac:dyDescent="0.25">
      <c r="A15" t="s">
        <v>27</v>
      </c>
      <c r="B15" s="8">
        <v>11</v>
      </c>
      <c r="C15" s="115">
        <v>16</v>
      </c>
      <c r="D15" s="115">
        <v>16</v>
      </c>
      <c r="E15" s="105"/>
      <c r="F15" s="115">
        <v>16</v>
      </c>
      <c r="G15" s="115">
        <v>16</v>
      </c>
      <c r="H15" s="115">
        <v>16</v>
      </c>
      <c r="I15" s="115">
        <v>16</v>
      </c>
      <c r="J15" s="115">
        <v>16</v>
      </c>
      <c r="K15" s="115">
        <v>16</v>
      </c>
      <c r="L15" s="115">
        <v>12</v>
      </c>
      <c r="M15" s="115">
        <v>16</v>
      </c>
      <c r="N15" s="115">
        <v>16</v>
      </c>
      <c r="O15" s="115">
        <v>12</v>
      </c>
      <c r="P15" s="115" t="s">
        <v>6</v>
      </c>
    </row>
    <row r="16" spans="1:16" x14ac:dyDescent="0.25">
      <c r="A16" t="s">
        <v>87</v>
      </c>
      <c r="B16" s="8">
        <v>12</v>
      </c>
      <c r="C16" s="115">
        <v>310</v>
      </c>
      <c r="D16" s="115">
        <v>310</v>
      </c>
      <c r="E16" s="105"/>
      <c r="F16" s="115">
        <v>268</v>
      </c>
      <c r="G16" s="116">
        <v>280</v>
      </c>
      <c r="H16" s="115">
        <v>310</v>
      </c>
      <c r="I16" s="115">
        <v>268</v>
      </c>
      <c r="J16" s="115">
        <v>325</v>
      </c>
      <c r="K16" s="115">
        <v>325</v>
      </c>
      <c r="L16" s="115">
        <v>268</v>
      </c>
      <c r="M16" s="115">
        <v>298</v>
      </c>
      <c r="N16" s="115">
        <v>268</v>
      </c>
      <c r="O16" s="115">
        <v>268</v>
      </c>
      <c r="P16" s="115" t="s">
        <v>6</v>
      </c>
    </row>
    <row r="17" spans="1:16" x14ac:dyDescent="0.25">
      <c r="A17" t="s">
        <v>27</v>
      </c>
      <c r="B17" s="8">
        <v>13</v>
      </c>
      <c r="C17" s="115">
        <v>16</v>
      </c>
      <c r="D17" s="115">
        <v>16</v>
      </c>
      <c r="E17" s="105"/>
      <c r="F17" s="115">
        <v>16</v>
      </c>
      <c r="G17" s="115">
        <v>16</v>
      </c>
      <c r="H17" s="115">
        <v>16</v>
      </c>
      <c r="I17" s="115">
        <v>16</v>
      </c>
      <c r="J17" s="115">
        <v>16</v>
      </c>
      <c r="K17" s="115">
        <v>16</v>
      </c>
      <c r="L17" s="115">
        <v>16</v>
      </c>
      <c r="M17" s="115">
        <v>16</v>
      </c>
      <c r="N17" s="115">
        <v>16</v>
      </c>
      <c r="O17" s="115">
        <v>16</v>
      </c>
      <c r="P17" s="115" t="s">
        <v>6</v>
      </c>
    </row>
    <row r="18" spans="1:16" x14ac:dyDescent="0.25">
      <c r="A18" t="s">
        <v>39</v>
      </c>
      <c r="B18" s="8">
        <v>14</v>
      </c>
      <c r="C18" s="115">
        <v>0</v>
      </c>
      <c r="D18" s="115">
        <v>0</v>
      </c>
      <c r="E18" s="105"/>
      <c r="F18" s="115">
        <v>0</v>
      </c>
      <c r="G18" s="115">
        <v>0</v>
      </c>
      <c r="H18" s="115">
        <v>0</v>
      </c>
      <c r="I18" s="115">
        <v>0</v>
      </c>
      <c r="J18" s="115">
        <v>0</v>
      </c>
      <c r="K18" s="115">
        <v>20</v>
      </c>
      <c r="L18" s="115">
        <v>0</v>
      </c>
      <c r="M18" s="115">
        <v>0</v>
      </c>
      <c r="N18" s="115">
        <v>0</v>
      </c>
      <c r="O18" s="115">
        <v>0</v>
      </c>
      <c r="P18" s="115" t="s">
        <v>6</v>
      </c>
    </row>
    <row r="19" spans="1:16" x14ac:dyDescent="0.25">
      <c r="A19" t="s">
        <v>41</v>
      </c>
      <c r="B19" s="8">
        <v>15</v>
      </c>
      <c r="C19" s="115">
        <v>0</v>
      </c>
      <c r="D19" s="115">
        <v>0</v>
      </c>
      <c r="E19" s="105"/>
      <c r="F19" s="115">
        <v>0</v>
      </c>
      <c r="G19" s="115">
        <v>0</v>
      </c>
      <c r="H19" s="115">
        <v>0</v>
      </c>
      <c r="I19" s="115">
        <v>0</v>
      </c>
      <c r="J19" s="115">
        <v>0</v>
      </c>
      <c r="K19" s="115">
        <v>3</v>
      </c>
      <c r="L19" s="115">
        <v>0</v>
      </c>
      <c r="M19" s="115">
        <v>0</v>
      </c>
      <c r="N19" s="115">
        <v>0</v>
      </c>
      <c r="O19" s="115">
        <v>0</v>
      </c>
      <c r="P19" s="115" t="s">
        <v>6</v>
      </c>
    </row>
    <row r="20" spans="1:16" x14ac:dyDescent="0.25">
      <c r="B20" s="8">
        <v>16</v>
      </c>
      <c r="E20" s="105"/>
      <c r="F20" s="115"/>
      <c r="G20" s="116"/>
      <c r="H20" s="115"/>
      <c r="I20" s="115"/>
      <c r="J20" s="115"/>
      <c r="K20" s="115"/>
      <c r="L20" s="115"/>
      <c r="M20" s="115"/>
      <c r="N20" s="115"/>
      <c r="O20" s="115"/>
      <c r="P20" s="115"/>
    </row>
    <row r="21" spans="1:16" x14ac:dyDescent="0.25">
      <c r="A21" s="12" t="s">
        <v>46</v>
      </c>
      <c r="B21" s="8">
        <v>17</v>
      </c>
      <c r="E21" s="105"/>
      <c r="F21" s="115"/>
      <c r="G21" s="116"/>
      <c r="H21" s="115"/>
      <c r="I21" s="115"/>
      <c r="J21" s="115"/>
      <c r="K21" s="115"/>
      <c r="L21" s="115"/>
      <c r="M21" s="115"/>
      <c r="N21" s="115"/>
      <c r="O21" s="115"/>
      <c r="P21" s="115"/>
    </row>
    <row r="22" spans="1:16" x14ac:dyDescent="0.25">
      <c r="A22" t="s">
        <v>28</v>
      </c>
      <c r="B22" s="8">
        <v>18</v>
      </c>
      <c r="C22" s="115">
        <v>1200</v>
      </c>
      <c r="D22" s="115">
        <v>1200</v>
      </c>
      <c r="E22" s="105"/>
      <c r="F22" s="115">
        <v>1200</v>
      </c>
      <c r="G22" s="115">
        <v>1200</v>
      </c>
      <c r="H22" s="115">
        <v>1200</v>
      </c>
      <c r="I22" s="115">
        <v>1200</v>
      </c>
      <c r="J22" s="115">
        <v>1200</v>
      </c>
      <c r="K22" s="115">
        <v>1200</v>
      </c>
      <c r="L22" s="115">
        <v>1200</v>
      </c>
      <c r="M22" s="115">
        <v>1200</v>
      </c>
      <c r="N22" s="115">
        <v>1200</v>
      </c>
      <c r="O22" s="115">
        <v>1200</v>
      </c>
      <c r="P22" s="115" t="s">
        <v>6</v>
      </c>
    </row>
    <row r="23" spans="1:16" x14ac:dyDescent="0.25">
      <c r="A23" t="s">
        <v>55</v>
      </c>
      <c r="B23" s="8">
        <v>19</v>
      </c>
      <c r="C23" s="115">
        <v>1350</v>
      </c>
      <c r="D23" s="115">
        <v>1350</v>
      </c>
      <c r="E23" s="105"/>
      <c r="F23" s="115">
        <v>1200</v>
      </c>
      <c r="G23" s="115">
        <v>1350</v>
      </c>
      <c r="H23" s="115">
        <v>1350</v>
      </c>
      <c r="I23" s="115">
        <v>1350</v>
      </c>
      <c r="J23" s="115">
        <v>1350</v>
      </c>
      <c r="K23" s="115">
        <v>1350</v>
      </c>
      <c r="L23" s="115">
        <v>1350</v>
      </c>
      <c r="M23" s="115">
        <v>1350</v>
      </c>
      <c r="N23" s="115">
        <v>1350</v>
      </c>
      <c r="O23" s="115">
        <v>1350</v>
      </c>
      <c r="P23" s="115" t="s">
        <v>6</v>
      </c>
    </row>
    <row r="24" spans="1:16" x14ac:dyDescent="0.25">
      <c r="A24" t="s">
        <v>40</v>
      </c>
      <c r="B24" s="8">
        <v>20</v>
      </c>
      <c r="C24" s="115" t="s">
        <v>191</v>
      </c>
      <c r="D24" s="115" t="s">
        <v>191</v>
      </c>
      <c r="E24" s="105"/>
      <c r="F24" s="115">
        <v>1100</v>
      </c>
      <c r="G24" s="115" t="s">
        <v>191</v>
      </c>
      <c r="H24" s="115" t="s">
        <v>191</v>
      </c>
      <c r="I24" s="115" t="s">
        <v>191</v>
      </c>
      <c r="J24" s="115" t="s">
        <v>191</v>
      </c>
      <c r="K24" s="115" t="s">
        <v>191</v>
      </c>
      <c r="L24" s="115" t="s">
        <v>191</v>
      </c>
      <c r="M24" s="115" t="s">
        <v>191</v>
      </c>
      <c r="N24" s="115" t="s">
        <v>191</v>
      </c>
      <c r="O24" s="115">
        <v>1100</v>
      </c>
      <c r="P24" s="115" t="s">
        <v>6</v>
      </c>
    </row>
    <row r="25" spans="1:16" x14ac:dyDescent="0.25">
      <c r="A25" t="s">
        <v>57</v>
      </c>
      <c r="B25" s="8">
        <v>21</v>
      </c>
      <c r="C25" s="115" t="s">
        <v>191</v>
      </c>
      <c r="D25" s="115" t="s">
        <v>191</v>
      </c>
      <c r="E25" s="105"/>
      <c r="F25" s="115">
        <v>1100</v>
      </c>
      <c r="G25" s="115" t="s">
        <v>191</v>
      </c>
      <c r="H25" s="115" t="s">
        <v>191</v>
      </c>
      <c r="I25" s="115" t="s">
        <v>191</v>
      </c>
      <c r="J25" s="115" t="s">
        <v>191</v>
      </c>
      <c r="K25" s="115" t="s">
        <v>191</v>
      </c>
      <c r="L25" s="115" t="s">
        <v>191</v>
      </c>
      <c r="M25" s="115" t="s">
        <v>191</v>
      </c>
      <c r="N25" s="115" t="s">
        <v>191</v>
      </c>
      <c r="O25" s="115">
        <v>1250</v>
      </c>
      <c r="P25" s="115" t="s">
        <v>6</v>
      </c>
    </row>
    <row r="26" spans="1:16" x14ac:dyDescent="0.25">
      <c r="A26" t="s">
        <v>103</v>
      </c>
      <c r="B26" s="8">
        <v>22</v>
      </c>
      <c r="C26" s="115">
        <v>400</v>
      </c>
      <c r="D26" s="115">
        <v>400</v>
      </c>
      <c r="E26" s="105"/>
      <c r="F26" s="115">
        <v>400</v>
      </c>
      <c r="G26" s="115">
        <v>400</v>
      </c>
      <c r="H26" s="115">
        <v>400</v>
      </c>
      <c r="I26" s="115">
        <v>400</v>
      </c>
      <c r="J26" s="115">
        <v>400</v>
      </c>
      <c r="K26" s="115">
        <v>400</v>
      </c>
      <c r="L26" s="115">
        <v>400</v>
      </c>
      <c r="M26" s="115">
        <v>400</v>
      </c>
      <c r="N26" s="115">
        <v>400</v>
      </c>
      <c r="O26" s="115">
        <v>400</v>
      </c>
      <c r="P26" s="115" t="s">
        <v>6</v>
      </c>
    </row>
    <row r="27" spans="1:16" x14ac:dyDescent="0.25">
      <c r="A27" t="s">
        <v>104</v>
      </c>
      <c r="B27" s="8">
        <v>23</v>
      </c>
      <c r="C27" s="115">
        <v>400</v>
      </c>
      <c r="D27" s="115">
        <v>400</v>
      </c>
      <c r="E27" s="105"/>
      <c r="F27" s="115">
        <v>400</v>
      </c>
      <c r="G27" s="115">
        <v>400</v>
      </c>
      <c r="H27" s="115">
        <v>400</v>
      </c>
      <c r="I27" s="115">
        <v>400</v>
      </c>
      <c r="J27" s="115">
        <v>400</v>
      </c>
      <c r="K27" s="115">
        <v>400</v>
      </c>
      <c r="L27" s="115">
        <v>400</v>
      </c>
      <c r="M27" s="115">
        <v>400</v>
      </c>
      <c r="N27" s="115">
        <v>400</v>
      </c>
      <c r="O27" s="115">
        <v>400</v>
      </c>
      <c r="P27" s="115" t="s">
        <v>6</v>
      </c>
    </row>
    <row r="28" spans="1:16" x14ac:dyDescent="0.25">
      <c r="A28" t="s">
        <v>105</v>
      </c>
      <c r="B28" s="8">
        <v>24</v>
      </c>
      <c r="C28" s="115">
        <v>600</v>
      </c>
      <c r="D28" s="115">
        <v>600</v>
      </c>
      <c r="E28" s="105"/>
      <c r="F28" s="115">
        <v>600</v>
      </c>
      <c r="G28" s="115">
        <v>600</v>
      </c>
      <c r="H28" s="115">
        <v>600</v>
      </c>
      <c r="I28" s="115">
        <v>600</v>
      </c>
      <c r="J28" s="115">
        <v>600</v>
      </c>
      <c r="K28" s="115">
        <v>600</v>
      </c>
      <c r="L28" s="115">
        <v>600</v>
      </c>
      <c r="M28" s="115">
        <v>600</v>
      </c>
      <c r="N28" s="115">
        <v>600</v>
      </c>
      <c r="O28" s="115">
        <v>600</v>
      </c>
      <c r="P28" s="115" t="s">
        <v>6</v>
      </c>
    </row>
    <row r="29" spans="1:16" x14ac:dyDescent="0.25">
      <c r="A29" t="s">
        <v>58</v>
      </c>
      <c r="B29" s="8">
        <v>25</v>
      </c>
      <c r="C29" s="115">
        <v>600</v>
      </c>
      <c r="D29" s="115">
        <v>600</v>
      </c>
      <c r="E29" s="105"/>
      <c r="F29" s="115">
        <v>600</v>
      </c>
      <c r="G29" s="115">
        <v>600</v>
      </c>
      <c r="H29" s="115">
        <v>600</v>
      </c>
      <c r="I29" s="115">
        <v>600</v>
      </c>
      <c r="J29" s="115">
        <v>600</v>
      </c>
      <c r="K29" s="115">
        <v>600</v>
      </c>
      <c r="L29" s="115">
        <v>600</v>
      </c>
      <c r="M29" s="115">
        <v>600</v>
      </c>
      <c r="N29" s="115">
        <v>600</v>
      </c>
      <c r="O29" s="115">
        <v>600</v>
      </c>
      <c r="P29" s="115" t="s">
        <v>6</v>
      </c>
    </row>
    <row r="30" spans="1:16" x14ac:dyDescent="0.25">
      <c r="A30" t="s">
        <v>47</v>
      </c>
      <c r="B30" s="8">
        <v>26</v>
      </c>
      <c r="C30" s="115">
        <v>10</v>
      </c>
      <c r="D30" s="115">
        <v>10</v>
      </c>
      <c r="E30" s="105"/>
      <c r="F30" s="115">
        <v>10</v>
      </c>
      <c r="G30" s="115">
        <v>10</v>
      </c>
      <c r="H30" s="115">
        <v>10</v>
      </c>
      <c r="I30" s="115">
        <v>10</v>
      </c>
      <c r="J30" s="115">
        <v>10</v>
      </c>
      <c r="K30" s="115">
        <v>10</v>
      </c>
      <c r="L30" s="115">
        <v>10</v>
      </c>
      <c r="M30" s="115">
        <v>10</v>
      </c>
      <c r="N30" s="115">
        <v>10</v>
      </c>
      <c r="O30" s="115">
        <v>10</v>
      </c>
      <c r="P30" s="115" t="s">
        <v>6</v>
      </c>
    </row>
    <row r="31" spans="1:16" x14ac:dyDescent="0.25">
      <c r="A31" t="s">
        <v>59</v>
      </c>
      <c r="B31" s="8">
        <v>27</v>
      </c>
      <c r="C31" s="115">
        <v>100</v>
      </c>
      <c r="D31" s="115">
        <v>100</v>
      </c>
      <c r="E31" s="105"/>
      <c r="F31" s="303">
        <v>100</v>
      </c>
      <c r="G31" s="115">
        <v>0</v>
      </c>
      <c r="H31" s="115">
        <v>100</v>
      </c>
      <c r="I31" s="115">
        <v>0</v>
      </c>
      <c r="J31" s="115">
        <v>0</v>
      </c>
      <c r="K31" s="115">
        <v>0</v>
      </c>
      <c r="L31" s="303">
        <v>150</v>
      </c>
      <c r="M31" s="303">
        <v>180</v>
      </c>
      <c r="N31" s="115">
        <v>100</v>
      </c>
      <c r="O31" s="115">
        <v>150</v>
      </c>
      <c r="P31" s="115" t="s">
        <v>6</v>
      </c>
    </row>
    <row r="32" spans="1:16" x14ac:dyDescent="0.25">
      <c r="B32" s="8">
        <v>28</v>
      </c>
      <c r="E32" s="105"/>
    </row>
    <row r="33" spans="1:16" x14ac:dyDescent="0.25">
      <c r="A33" s="12" t="s">
        <v>29</v>
      </c>
      <c r="B33" s="8">
        <v>29</v>
      </c>
      <c r="E33" s="105"/>
    </row>
    <row r="34" spans="1:16" x14ac:dyDescent="0.25">
      <c r="A34" s="111" t="s">
        <v>28</v>
      </c>
      <c r="B34" s="8">
        <v>30</v>
      </c>
      <c r="C34" s="118" t="s">
        <v>190</v>
      </c>
      <c r="D34" s="118" t="s">
        <v>1</v>
      </c>
      <c r="E34" s="105"/>
    </row>
    <row r="35" spans="1:16" x14ac:dyDescent="0.25">
      <c r="A35" s="111" t="s">
        <v>30</v>
      </c>
      <c r="B35" s="8">
        <v>31</v>
      </c>
      <c r="C35" s="118" t="s">
        <v>1</v>
      </c>
      <c r="D35" s="118" t="s">
        <v>190</v>
      </c>
      <c r="E35" s="105"/>
      <c r="F35" s="74" t="s">
        <v>1</v>
      </c>
      <c r="G35" s="74" t="s">
        <v>1</v>
      </c>
      <c r="H35" s="74" t="s">
        <v>1</v>
      </c>
      <c r="I35" s="74" t="s">
        <v>1</v>
      </c>
      <c r="J35" s="74" t="s">
        <v>1</v>
      </c>
      <c r="K35" s="74" t="s">
        <v>1</v>
      </c>
      <c r="L35" s="74" t="s">
        <v>1</v>
      </c>
      <c r="M35" s="74" t="s">
        <v>1</v>
      </c>
      <c r="N35" s="74" t="s">
        <v>1</v>
      </c>
      <c r="O35" s="74" t="s">
        <v>1</v>
      </c>
      <c r="P35" s="74" t="s">
        <v>1</v>
      </c>
    </row>
    <row r="36" spans="1:16" x14ac:dyDescent="0.25">
      <c r="A36" s="111" t="s">
        <v>111</v>
      </c>
      <c r="B36" s="8">
        <v>32</v>
      </c>
      <c r="C36" s="118"/>
      <c r="D36" s="118"/>
      <c r="E36" s="105"/>
      <c r="F36" s="106" t="s">
        <v>6</v>
      </c>
      <c r="G36" s="106" t="s">
        <v>6</v>
      </c>
      <c r="H36" s="106" t="s">
        <v>6</v>
      </c>
      <c r="I36" s="106" t="s">
        <v>6</v>
      </c>
      <c r="J36" s="106" t="s">
        <v>6</v>
      </c>
      <c r="K36" s="106" t="s">
        <v>6</v>
      </c>
      <c r="L36" s="106" t="s">
        <v>6</v>
      </c>
      <c r="M36" s="106" t="s">
        <v>6</v>
      </c>
      <c r="N36" s="106" t="s">
        <v>6</v>
      </c>
      <c r="O36" s="106" t="s">
        <v>6</v>
      </c>
      <c r="P36" s="308">
        <v>263</v>
      </c>
    </row>
    <row r="37" spans="1:16" x14ac:dyDescent="0.25">
      <c r="A37" s="111"/>
      <c r="B37" s="8">
        <v>33</v>
      </c>
      <c r="C37" s="118"/>
      <c r="D37" s="118"/>
      <c r="E37" s="105"/>
    </row>
    <row r="38" spans="1:16" x14ac:dyDescent="0.25">
      <c r="A38" s="12" t="s">
        <v>72</v>
      </c>
      <c r="B38" s="8">
        <v>34</v>
      </c>
      <c r="C38" s="115">
        <v>0</v>
      </c>
      <c r="D38" s="115">
        <v>0</v>
      </c>
      <c r="E38" s="105"/>
      <c r="F38" s="74">
        <v>0</v>
      </c>
      <c r="G38" s="74">
        <v>0</v>
      </c>
      <c r="H38" s="74">
        <v>0</v>
      </c>
      <c r="I38" s="74">
        <v>0</v>
      </c>
      <c r="J38" s="74">
        <v>0</v>
      </c>
      <c r="K38" s="74">
        <v>0</v>
      </c>
      <c r="L38" s="74">
        <v>0</v>
      </c>
      <c r="M38" s="74">
        <v>0</v>
      </c>
      <c r="N38" s="74">
        <v>0</v>
      </c>
      <c r="O38" s="74">
        <v>0</v>
      </c>
      <c r="P38" s="74">
        <v>0</v>
      </c>
    </row>
    <row r="39" spans="1:16" x14ac:dyDescent="0.25">
      <c r="B39" s="8">
        <v>35</v>
      </c>
      <c r="E39" s="105"/>
    </row>
    <row r="40" spans="1:16" x14ac:dyDescent="0.25">
      <c r="A40" s="12" t="s">
        <v>54</v>
      </c>
      <c r="B40" s="8">
        <v>36</v>
      </c>
      <c r="E40" s="105"/>
    </row>
    <row r="41" spans="1:16" x14ac:dyDescent="0.25">
      <c r="A41" t="s">
        <v>175</v>
      </c>
      <c r="B41" s="8">
        <v>37</v>
      </c>
      <c r="C41" s="322">
        <v>297.5</v>
      </c>
      <c r="D41" s="322">
        <v>297.5</v>
      </c>
      <c r="E41" s="105"/>
      <c r="F41" s="322">
        <v>112</v>
      </c>
      <c r="G41" s="322">
        <v>0</v>
      </c>
      <c r="H41" s="323">
        <v>297.5</v>
      </c>
      <c r="I41" s="322">
        <v>100</v>
      </c>
      <c r="J41" s="322">
        <v>50</v>
      </c>
      <c r="K41" s="322">
        <v>96</v>
      </c>
      <c r="L41" s="323">
        <v>155</v>
      </c>
      <c r="M41" s="322">
        <v>105</v>
      </c>
      <c r="N41" s="322">
        <v>104</v>
      </c>
      <c r="O41" s="323">
        <v>98</v>
      </c>
      <c r="P41" s="106" t="s">
        <v>6</v>
      </c>
    </row>
    <row r="42" spans="1:16" x14ac:dyDescent="0.25">
      <c r="A42" s="312" t="s">
        <v>176</v>
      </c>
      <c r="B42" s="8">
        <v>38</v>
      </c>
      <c r="C42" s="322">
        <v>297.5</v>
      </c>
      <c r="D42" s="322">
        <v>297.5</v>
      </c>
      <c r="E42" s="105"/>
      <c r="F42" s="323">
        <v>112</v>
      </c>
      <c r="G42" s="323">
        <v>0</v>
      </c>
      <c r="H42" s="323">
        <v>297.5</v>
      </c>
      <c r="I42" s="323">
        <v>100</v>
      </c>
      <c r="J42" s="323">
        <v>50</v>
      </c>
      <c r="K42" s="323">
        <v>100</v>
      </c>
      <c r="L42" s="323">
        <v>155</v>
      </c>
      <c r="M42" s="323">
        <v>105</v>
      </c>
      <c r="N42" s="323">
        <v>104</v>
      </c>
      <c r="O42" s="323">
        <v>98</v>
      </c>
      <c r="P42" s="106"/>
    </row>
    <row r="43" spans="1:16" x14ac:dyDescent="0.25">
      <c r="A43" t="s">
        <v>177</v>
      </c>
      <c r="B43" s="8">
        <v>39</v>
      </c>
      <c r="C43" s="322">
        <v>170</v>
      </c>
      <c r="D43" s="322">
        <v>170</v>
      </c>
      <c r="E43" s="105"/>
      <c r="F43" s="322">
        <v>100</v>
      </c>
      <c r="G43" s="322">
        <v>0</v>
      </c>
      <c r="H43" s="323">
        <v>170</v>
      </c>
      <c r="I43" s="322">
        <v>60</v>
      </c>
      <c r="J43" s="322">
        <v>50</v>
      </c>
      <c r="K43" s="323">
        <v>80</v>
      </c>
      <c r="L43" s="323">
        <v>190</v>
      </c>
      <c r="M43" s="323">
        <v>120</v>
      </c>
      <c r="N43" s="323">
        <v>120</v>
      </c>
      <c r="O43" s="322">
        <v>115</v>
      </c>
      <c r="P43" s="106" t="s">
        <v>6</v>
      </c>
    </row>
    <row r="44" spans="1:16" x14ac:dyDescent="0.25">
      <c r="A44" s="312" t="s">
        <v>178</v>
      </c>
      <c r="B44" s="8">
        <v>40</v>
      </c>
      <c r="C44" s="322">
        <v>170</v>
      </c>
      <c r="D44" s="322">
        <v>170</v>
      </c>
      <c r="E44" s="105"/>
      <c r="F44" s="323">
        <v>100</v>
      </c>
      <c r="G44" s="323">
        <v>0</v>
      </c>
      <c r="H44" s="323">
        <v>170</v>
      </c>
      <c r="I44" s="323">
        <v>60</v>
      </c>
      <c r="J44" s="323">
        <v>50</v>
      </c>
      <c r="K44" s="323">
        <v>80</v>
      </c>
      <c r="L44" s="323">
        <v>190</v>
      </c>
      <c r="M44" s="323">
        <v>120</v>
      </c>
      <c r="N44" s="323">
        <v>120</v>
      </c>
      <c r="O44" s="323">
        <v>115</v>
      </c>
      <c r="P44" s="106"/>
    </row>
    <row r="45" spans="1:16" x14ac:dyDescent="0.25">
      <c r="A45" t="s">
        <v>82</v>
      </c>
      <c r="B45" s="8">
        <v>41</v>
      </c>
      <c r="C45" s="142">
        <v>20</v>
      </c>
      <c r="D45" s="142">
        <v>20</v>
      </c>
      <c r="E45" s="105"/>
      <c r="F45" s="142">
        <v>20</v>
      </c>
      <c r="G45" s="74">
        <v>0</v>
      </c>
      <c r="H45" s="314">
        <v>20</v>
      </c>
      <c r="I45" s="142">
        <v>6.4999999999999997E-3</v>
      </c>
      <c r="J45" s="142">
        <v>8</v>
      </c>
      <c r="K45" s="142">
        <v>10</v>
      </c>
      <c r="L45" s="314">
        <v>25</v>
      </c>
      <c r="M45" s="142">
        <v>25</v>
      </c>
      <c r="N45" s="142">
        <v>18</v>
      </c>
      <c r="O45" s="142">
        <v>12</v>
      </c>
      <c r="P45" s="142" t="s">
        <v>6</v>
      </c>
    </row>
    <row r="46" spans="1:16" x14ac:dyDescent="0.25">
      <c r="A46" t="s">
        <v>83</v>
      </c>
      <c r="B46" s="8">
        <v>42</v>
      </c>
      <c r="C46" s="142">
        <v>20</v>
      </c>
      <c r="D46" s="142">
        <v>20</v>
      </c>
      <c r="E46" s="105"/>
      <c r="F46" s="142">
        <v>20</v>
      </c>
      <c r="G46" s="74">
        <v>0</v>
      </c>
      <c r="H46" s="314">
        <v>20</v>
      </c>
      <c r="I46" s="142">
        <v>6.4999999999999997E-3</v>
      </c>
      <c r="J46" s="142">
        <v>8</v>
      </c>
      <c r="K46" s="142">
        <v>10</v>
      </c>
      <c r="L46" s="314">
        <v>25</v>
      </c>
      <c r="M46" s="142">
        <v>25</v>
      </c>
      <c r="N46" s="142">
        <v>18</v>
      </c>
      <c r="O46" s="142">
        <v>12</v>
      </c>
      <c r="P46" s="142" t="s">
        <v>6</v>
      </c>
    </row>
    <row r="47" spans="1:16" x14ac:dyDescent="0.25">
      <c r="A47" t="s">
        <v>84</v>
      </c>
      <c r="B47" s="8">
        <v>43</v>
      </c>
      <c r="C47" s="142">
        <v>20</v>
      </c>
      <c r="D47" s="142">
        <v>20</v>
      </c>
      <c r="E47" s="105"/>
      <c r="F47" s="142">
        <v>20</v>
      </c>
      <c r="G47" s="74">
        <v>0</v>
      </c>
      <c r="H47" s="314">
        <v>20</v>
      </c>
      <c r="I47" s="142">
        <v>6.4999999999999997E-3</v>
      </c>
      <c r="J47" s="142">
        <v>8</v>
      </c>
      <c r="K47" s="142">
        <v>15</v>
      </c>
      <c r="L47" s="314">
        <v>25</v>
      </c>
      <c r="M47" s="142">
        <v>25</v>
      </c>
      <c r="N47" s="142">
        <v>18</v>
      </c>
      <c r="O47" s="142">
        <v>12</v>
      </c>
      <c r="P47" s="142" t="s">
        <v>6</v>
      </c>
    </row>
    <row r="48" spans="1:16" x14ac:dyDescent="0.25">
      <c r="A48" t="s">
        <v>85</v>
      </c>
      <c r="B48" s="8">
        <v>44</v>
      </c>
      <c r="C48" s="142">
        <v>20</v>
      </c>
      <c r="D48" s="142">
        <v>20</v>
      </c>
      <c r="E48" s="105"/>
      <c r="F48" s="142">
        <v>20</v>
      </c>
      <c r="G48" s="74">
        <v>0</v>
      </c>
      <c r="H48" s="314">
        <v>20</v>
      </c>
      <c r="I48" s="142">
        <v>6.4999999999999997E-3</v>
      </c>
      <c r="J48" s="142">
        <v>8</v>
      </c>
      <c r="K48" s="142">
        <v>15</v>
      </c>
      <c r="L48" s="314">
        <v>25</v>
      </c>
      <c r="M48" s="142">
        <v>25</v>
      </c>
      <c r="N48" s="142">
        <v>18</v>
      </c>
      <c r="O48" s="142">
        <v>12</v>
      </c>
      <c r="P48" s="142" t="s">
        <v>6</v>
      </c>
    </row>
    <row r="49" spans="1:17" x14ac:dyDescent="0.25">
      <c r="A49" t="s">
        <v>63</v>
      </c>
      <c r="B49" s="8">
        <v>45</v>
      </c>
      <c r="C49" s="115">
        <v>0</v>
      </c>
      <c r="D49" s="115">
        <v>0</v>
      </c>
      <c r="E49" s="105"/>
      <c r="F49" s="115">
        <v>0</v>
      </c>
      <c r="G49" s="115">
        <v>0</v>
      </c>
      <c r="H49" s="115">
        <v>0</v>
      </c>
      <c r="I49" s="115">
        <v>0</v>
      </c>
      <c r="J49" s="115">
        <v>0</v>
      </c>
      <c r="K49" s="115">
        <v>0</v>
      </c>
      <c r="L49" s="115">
        <v>0</v>
      </c>
      <c r="M49" s="115">
        <v>0</v>
      </c>
      <c r="N49" s="115">
        <v>30</v>
      </c>
      <c r="O49" s="115">
        <v>24</v>
      </c>
      <c r="P49" s="115" t="s">
        <v>6</v>
      </c>
      <c r="Q49" s="116"/>
    </row>
    <row r="50" spans="1:17" x14ac:dyDescent="0.25">
      <c r="A50" t="s">
        <v>64</v>
      </c>
      <c r="B50" s="8">
        <v>46</v>
      </c>
      <c r="C50" s="115">
        <v>0</v>
      </c>
      <c r="D50" s="115">
        <v>0</v>
      </c>
      <c r="E50" s="105"/>
      <c r="F50" s="115">
        <v>0</v>
      </c>
      <c r="G50" s="115">
        <v>0</v>
      </c>
      <c r="H50" s="115">
        <v>0</v>
      </c>
      <c r="I50" s="115">
        <v>0</v>
      </c>
      <c r="J50" s="115">
        <v>0</v>
      </c>
      <c r="K50" s="115">
        <v>50</v>
      </c>
      <c r="L50" s="115">
        <v>50</v>
      </c>
      <c r="M50" s="115">
        <v>0</v>
      </c>
      <c r="N50" s="303">
        <v>25</v>
      </c>
      <c r="O50" s="115">
        <v>0</v>
      </c>
      <c r="P50" s="115" t="s">
        <v>6</v>
      </c>
      <c r="Q50" s="116"/>
    </row>
    <row r="51" spans="1:17" x14ac:dyDescent="0.25">
      <c r="B51" s="8">
        <v>47</v>
      </c>
      <c r="E51" s="105"/>
      <c r="F51" s="115"/>
      <c r="G51" s="115"/>
      <c r="H51" s="115"/>
      <c r="I51" s="115"/>
      <c r="J51" s="115"/>
      <c r="K51" s="115"/>
      <c r="L51" s="115"/>
      <c r="M51" s="115"/>
      <c r="N51" s="115"/>
      <c r="O51" s="115"/>
      <c r="P51" s="115"/>
      <c r="Q51" s="116"/>
    </row>
    <row r="52" spans="1:17" x14ac:dyDescent="0.25">
      <c r="A52" s="12" t="s">
        <v>36</v>
      </c>
      <c r="B52" s="8">
        <v>48</v>
      </c>
      <c r="E52" s="105"/>
      <c r="F52" s="115"/>
      <c r="G52" s="115"/>
      <c r="H52" s="115"/>
      <c r="I52" s="115"/>
      <c r="J52" s="115"/>
      <c r="K52" s="115"/>
      <c r="L52" s="115"/>
      <c r="M52" s="115"/>
      <c r="N52" s="115"/>
      <c r="O52" s="115"/>
      <c r="P52" s="115"/>
      <c r="Q52" s="116"/>
    </row>
    <row r="53" spans="1:17" s="111" customFormat="1" x14ac:dyDescent="0.25">
      <c r="A53" s="111" t="s">
        <v>119</v>
      </c>
      <c r="B53" s="8">
        <v>49</v>
      </c>
      <c r="C53" s="118">
        <v>0</v>
      </c>
      <c r="D53" s="118" t="s">
        <v>6</v>
      </c>
      <c r="E53" s="113"/>
      <c r="F53" s="235">
        <v>0</v>
      </c>
      <c r="G53" s="235">
        <v>0</v>
      </c>
      <c r="H53" s="235">
        <v>0</v>
      </c>
      <c r="I53" s="235">
        <v>0</v>
      </c>
      <c r="J53" s="118">
        <v>4200</v>
      </c>
      <c r="K53" s="235">
        <v>0</v>
      </c>
      <c r="L53" s="235">
        <v>0</v>
      </c>
      <c r="M53" s="235">
        <v>0</v>
      </c>
      <c r="N53" s="235">
        <v>0</v>
      </c>
      <c r="O53" s="235">
        <v>0</v>
      </c>
      <c r="P53" s="235">
        <v>0</v>
      </c>
      <c r="Q53" s="297"/>
    </row>
    <row r="54" spans="1:17" s="111" customFormat="1" x14ac:dyDescent="0.25">
      <c r="A54" s="111" t="s">
        <v>120</v>
      </c>
      <c r="B54" s="8">
        <v>50</v>
      </c>
      <c r="C54" s="118" t="s">
        <v>6</v>
      </c>
      <c r="D54" s="118">
        <v>0</v>
      </c>
      <c r="E54" s="113"/>
      <c r="F54" s="235">
        <v>0</v>
      </c>
      <c r="G54" s="235">
        <v>0</v>
      </c>
      <c r="H54" s="235">
        <v>0</v>
      </c>
      <c r="I54" s="235">
        <v>0</v>
      </c>
      <c r="J54" s="118">
        <v>4200</v>
      </c>
      <c r="K54" s="235">
        <v>0</v>
      </c>
      <c r="L54" s="235">
        <v>0</v>
      </c>
      <c r="M54" s="235">
        <v>0</v>
      </c>
      <c r="N54" s="235">
        <v>0</v>
      </c>
      <c r="O54" s="235">
        <v>0</v>
      </c>
      <c r="P54" s="235">
        <v>0</v>
      </c>
      <c r="Q54" s="297"/>
    </row>
    <row r="55" spans="1:17" x14ac:dyDescent="0.25">
      <c r="A55" s="1" t="s">
        <v>42</v>
      </c>
      <c r="B55" s="8">
        <v>51</v>
      </c>
      <c r="C55" s="115">
        <v>0</v>
      </c>
      <c r="D55" s="115">
        <v>0</v>
      </c>
      <c r="E55" s="105"/>
      <c r="F55" s="115">
        <v>0</v>
      </c>
      <c r="G55" s="115">
        <v>0</v>
      </c>
      <c r="H55" s="115">
        <v>0</v>
      </c>
      <c r="I55" s="115">
        <v>0</v>
      </c>
      <c r="J55" s="115" t="s">
        <v>6</v>
      </c>
      <c r="K55" s="149">
        <v>0</v>
      </c>
      <c r="L55" s="149">
        <v>0</v>
      </c>
      <c r="M55" s="115">
        <v>0</v>
      </c>
      <c r="N55" s="115">
        <v>0</v>
      </c>
      <c r="O55" s="115">
        <v>0</v>
      </c>
      <c r="P55" s="115">
        <v>0</v>
      </c>
      <c r="Q55" s="116"/>
    </row>
    <row r="56" spans="1:17" x14ac:dyDescent="0.25">
      <c r="A56" s="1" t="s">
        <v>45</v>
      </c>
      <c r="B56" s="8">
        <v>52</v>
      </c>
      <c r="C56" s="115">
        <v>0</v>
      </c>
      <c r="D56" s="115">
        <v>0</v>
      </c>
      <c r="E56" s="105"/>
      <c r="F56" s="115">
        <v>0</v>
      </c>
      <c r="G56" s="115">
        <v>0</v>
      </c>
      <c r="H56" s="115">
        <v>0</v>
      </c>
      <c r="I56" s="115">
        <v>0</v>
      </c>
      <c r="J56" s="303">
        <v>4200</v>
      </c>
      <c r="K56" s="149">
        <v>0</v>
      </c>
      <c r="L56" s="149">
        <v>0</v>
      </c>
      <c r="M56" s="115">
        <v>0</v>
      </c>
      <c r="N56" s="115">
        <v>0</v>
      </c>
      <c r="O56" s="115">
        <v>0</v>
      </c>
      <c r="P56" s="115">
        <v>0</v>
      </c>
      <c r="Q56" s="116"/>
    </row>
    <row r="57" spans="1:17" x14ac:dyDescent="0.25">
      <c r="A57" s="1" t="s">
        <v>43</v>
      </c>
      <c r="B57" s="8">
        <v>53</v>
      </c>
      <c r="C57" s="115">
        <v>0</v>
      </c>
      <c r="D57" s="115">
        <v>0</v>
      </c>
      <c r="E57" s="105"/>
      <c r="F57" s="115">
        <v>0</v>
      </c>
      <c r="G57" s="115">
        <v>0</v>
      </c>
      <c r="H57" s="115">
        <v>0</v>
      </c>
      <c r="I57" s="115">
        <v>0</v>
      </c>
      <c r="J57" s="303">
        <v>4200</v>
      </c>
      <c r="K57" s="149">
        <v>0</v>
      </c>
      <c r="L57" s="149">
        <v>0</v>
      </c>
      <c r="M57" s="115">
        <v>0</v>
      </c>
      <c r="N57" s="115">
        <v>0</v>
      </c>
      <c r="O57" s="115">
        <v>0</v>
      </c>
      <c r="P57" s="115">
        <v>0</v>
      </c>
      <c r="Q57" s="116"/>
    </row>
    <row r="58" spans="1:17" s="111" customFormat="1" x14ac:dyDescent="0.25">
      <c r="A58" s="111" t="s">
        <v>121</v>
      </c>
      <c r="B58" s="8">
        <v>54</v>
      </c>
      <c r="C58" s="118">
        <v>3268.25</v>
      </c>
      <c r="D58" s="118" t="s">
        <v>6</v>
      </c>
      <c r="E58" s="113"/>
      <c r="F58" s="118">
        <v>3268.25</v>
      </c>
      <c r="G58" s="118">
        <v>3668.25</v>
      </c>
      <c r="H58" s="118">
        <v>3268.25</v>
      </c>
      <c r="I58" s="118">
        <v>1768.25</v>
      </c>
      <c r="J58" s="118">
        <v>1263.594470046083</v>
      </c>
      <c r="K58" s="118">
        <v>3268.25</v>
      </c>
      <c r="L58" s="118">
        <v>3268.25</v>
      </c>
      <c r="M58" s="118">
        <v>3668.25</v>
      </c>
      <c r="N58" s="118">
        <v>3268.25</v>
      </c>
      <c r="O58" s="118">
        <v>3268.25</v>
      </c>
      <c r="P58" s="118">
        <v>3268.25</v>
      </c>
      <c r="Q58" s="297"/>
    </row>
    <row r="59" spans="1:17" s="111" customFormat="1" x14ac:dyDescent="0.25">
      <c r="A59" s="111" t="s">
        <v>122</v>
      </c>
      <c r="B59" s="8">
        <v>55</v>
      </c>
      <c r="C59" s="118" t="s">
        <v>6</v>
      </c>
      <c r="D59" s="118">
        <v>8540</v>
      </c>
      <c r="E59" s="113"/>
      <c r="F59" s="118">
        <v>8540</v>
      </c>
      <c r="G59" s="118">
        <v>7040</v>
      </c>
      <c r="H59" s="118">
        <v>8540</v>
      </c>
      <c r="I59" s="118">
        <v>5140</v>
      </c>
      <c r="J59" s="118">
        <v>4684.2396313364061</v>
      </c>
      <c r="K59" s="118">
        <v>8540</v>
      </c>
      <c r="L59" s="118">
        <v>8540</v>
      </c>
      <c r="M59" s="118">
        <v>7040</v>
      </c>
      <c r="N59" s="118">
        <v>8540</v>
      </c>
      <c r="O59" s="118">
        <v>8540</v>
      </c>
      <c r="P59" s="118">
        <v>8540</v>
      </c>
      <c r="Q59" s="297"/>
    </row>
    <row r="60" spans="1:17" x14ac:dyDescent="0.25">
      <c r="A60" s="2" t="s">
        <v>51</v>
      </c>
      <c r="B60" s="8">
        <v>56</v>
      </c>
      <c r="C60" s="115" t="s">
        <v>190</v>
      </c>
      <c r="D60" s="115" t="s">
        <v>190</v>
      </c>
      <c r="E60" s="105"/>
      <c r="F60" s="115"/>
      <c r="G60" s="115"/>
      <c r="H60" s="115"/>
      <c r="I60" s="115"/>
      <c r="J60" s="115"/>
      <c r="K60" s="115"/>
      <c r="L60" s="115"/>
      <c r="M60" s="115"/>
      <c r="N60" s="115"/>
      <c r="O60" s="115"/>
      <c r="P60" s="115"/>
      <c r="Q60" s="116"/>
    </row>
    <row r="61" spans="1:17" x14ac:dyDescent="0.25">
      <c r="A61" s="1" t="s">
        <v>42</v>
      </c>
      <c r="B61" s="8">
        <v>57</v>
      </c>
      <c r="C61" s="115">
        <v>3</v>
      </c>
      <c r="D61" s="115">
        <v>3</v>
      </c>
      <c r="E61" s="105"/>
      <c r="F61" s="115">
        <v>3</v>
      </c>
      <c r="G61" s="115">
        <v>10</v>
      </c>
      <c r="H61" s="115">
        <v>3</v>
      </c>
      <c r="I61" s="115">
        <v>0</v>
      </c>
      <c r="J61" s="115">
        <v>0</v>
      </c>
      <c r="K61" s="115">
        <v>3</v>
      </c>
      <c r="L61" s="115">
        <v>3</v>
      </c>
      <c r="M61" s="115">
        <v>10</v>
      </c>
      <c r="N61" s="115">
        <v>3</v>
      </c>
      <c r="O61" s="115">
        <v>3</v>
      </c>
      <c r="P61" s="115">
        <v>3</v>
      </c>
      <c r="Q61" s="116"/>
    </row>
    <row r="62" spans="1:17" x14ac:dyDescent="0.25">
      <c r="A62" s="1" t="s">
        <v>45</v>
      </c>
      <c r="B62" s="8">
        <v>58</v>
      </c>
      <c r="C62" s="115">
        <v>2000</v>
      </c>
      <c r="D62" s="115">
        <v>2000</v>
      </c>
      <c r="E62" s="105"/>
      <c r="F62" s="115">
        <v>2000</v>
      </c>
      <c r="G62" s="115">
        <v>700</v>
      </c>
      <c r="H62" s="115">
        <v>2000</v>
      </c>
      <c r="I62" s="115">
        <v>500</v>
      </c>
      <c r="J62" s="115">
        <v>0</v>
      </c>
      <c r="K62" s="115">
        <v>2000</v>
      </c>
      <c r="L62" s="115">
        <v>2000</v>
      </c>
      <c r="M62" s="115">
        <v>700</v>
      </c>
      <c r="N62" s="115">
        <v>2000</v>
      </c>
      <c r="O62" s="115">
        <v>2000</v>
      </c>
      <c r="P62" s="115">
        <v>2000</v>
      </c>
      <c r="Q62" s="116"/>
    </row>
    <row r="63" spans="1:17" x14ac:dyDescent="0.25">
      <c r="A63" s="1" t="s">
        <v>43</v>
      </c>
      <c r="B63" s="8">
        <v>59</v>
      </c>
      <c r="C63" s="115">
        <v>4000</v>
      </c>
      <c r="D63" s="115">
        <v>4000</v>
      </c>
      <c r="E63" s="105"/>
      <c r="F63" s="115">
        <v>4000</v>
      </c>
      <c r="G63" s="115">
        <v>2400</v>
      </c>
      <c r="H63" s="115">
        <v>4000</v>
      </c>
      <c r="I63" s="115">
        <v>500</v>
      </c>
      <c r="J63" s="115">
        <v>0</v>
      </c>
      <c r="K63" s="115">
        <v>4000</v>
      </c>
      <c r="L63" s="115">
        <v>4000</v>
      </c>
      <c r="M63" s="115">
        <v>2400</v>
      </c>
      <c r="N63" s="115">
        <v>4000</v>
      </c>
      <c r="O63" s="115">
        <v>4000</v>
      </c>
      <c r="P63" s="115">
        <v>4000</v>
      </c>
      <c r="Q63" s="116"/>
    </row>
    <row r="64" spans="1:17" x14ac:dyDescent="0.25">
      <c r="A64" s="85" t="s">
        <v>47</v>
      </c>
      <c r="B64" s="8">
        <v>60</v>
      </c>
      <c r="C64" s="115">
        <v>15</v>
      </c>
      <c r="D64" s="115">
        <v>15</v>
      </c>
      <c r="E64" s="105"/>
      <c r="F64" s="115">
        <v>15</v>
      </c>
      <c r="G64" s="115">
        <v>15</v>
      </c>
      <c r="H64" s="115">
        <v>15</v>
      </c>
      <c r="I64" s="115">
        <v>15</v>
      </c>
      <c r="J64" s="115">
        <v>15</v>
      </c>
      <c r="K64" s="115">
        <v>15</v>
      </c>
      <c r="L64" s="115">
        <v>15</v>
      </c>
      <c r="M64" s="115">
        <v>15</v>
      </c>
      <c r="N64" s="115">
        <v>15</v>
      </c>
      <c r="O64" s="115">
        <v>15</v>
      </c>
      <c r="P64" s="115">
        <v>15</v>
      </c>
      <c r="Q64" s="116"/>
    </row>
    <row r="65" spans="1:17" x14ac:dyDescent="0.25">
      <c r="A65" s="1" t="s">
        <v>49</v>
      </c>
      <c r="B65" s="8">
        <v>61</v>
      </c>
      <c r="C65" s="115">
        <v>3200</v>
      </c>
      <c r="D65" s="115">
        <v>3200</v>
      </c>
      <c r="E65" s="105"/>
      <c r="F65" s="115">
        <v>3200</v>
      </c>
      <c r="G65" s="115">
        <v>3200</v>
      </c>
      <c r="H65" s="115">
        <v>3200</v>
      </c>
      <c r="I65" s="115">
        <v>3200</v>
      </c>
      <c r="J65" s="115">
        <v>3200</v>
      </c>
      <c r="K65" s="115">
        <v>3200</v>
      </c>
      <c r="L65" s="115">
        <v>3200</v>
      </c>
      <c r="M65" s="115">
        <v>3200</v>
      </c>
      <c r="N65" s="115">
        <v>3200</v>
      </c>
      <c r="O65" s="115">
        <v>3200</v>
      </c>
      <c r="P65" s="115">
        <v>3200</v>
      </c>
      <c r="Q65" s="116"/>
    </row>
    <row r="66" spans="1:17" x14ac:dyDescent="0.25">
      <c r="A66" s="85" t="s">
        <v>112</v>
      </c>
      <c r="B66" s="8">
        <v>62</v>
      </c>
      <c r="C66" s="115">
        <v>7000</v>
      </c>
      <c r="D66" s="115">
        <v>7000</v>
      </c>
      <c r="E66" s="105"/>
      <c r="F66" s="115">
        <v>7000</v>
      </c>
      <c r="G66" s="115">
        <v>6000</v>
      </c>
      <c r="H66" s="115">
        <v>7000</v>
      </c>
      <c r="I66" s="115">
        <v>6000</v>
      </c>
      <c r="J66" s="303">
        <v>3200</v>
      </c>
      <c r="K66" s="115">
        <v>12000</v>
      </c>
      <c r="L66" s="303">
        <v>6500</v>
      </c>
      <c r="M66" s="303">
        <v>8000</v>
      </c>
      <c r="N66" s="310">
        <v>7000</v>
      </c>
      <c r="O66" s="303">
        <v>5200</v>
      </c>
      <c r="P66" s="303">
        <v>3300</v>
      </c>
      <c r="Q66" s="116"/>
    </row>
    <row r="67" spans="1:17" s="111" customFormat="1" x14ac:dyDescent="0.25">
      <c r="A67" s="111" t="s">
        <v>123</v>
      </c>
      <c r="B67" s="8">
        <v>63</v>
      </c>
      <c r="C67" s="118">
        <v>0</v>
      </c>
      <c r="D67" s="118" t="s">
        <v>6</v>
      </c>
      <c r="E67" s="113"/>
      <c r="F67" s="118">
        <v>0</v>
      </c>
      <c r="G67" s="118">
        <v>0</v>
      </c>
      <c r="H67" s="118">
        <v>0</v>
      </c>
      <c r="I67" s="118">
        <v>0</v>
      </c>
      <c r="J67" s="309">
        <v>0</v>
      </c>
      <c r="K67" s="118">
        <v>0</v>
      </c>
      <c r="L67" s="118">
        <v>0</v>
      </c>
      <c r="M67" s="118">
        <v>0</v>
      </c>
      <c r="N67" s="118">
        <v>0</v>
      </c>
      <c r="O67" s="118">
        <v>0</v>
      </c>
      <c r="P67" s="118">
        <v>0</v>
      </c>
      <c r="Q67" s="297"/>
    </row>
    <row r="68" spans="1:17" s="111" customFormat="1" x14ac:dyDescent="0.25">
      <c r="A68" s="111" t="s">
        <v>124</v>
      </c>
      <c r="B68" s="8">
        <v>64</v>
      </c>
      <c r="C68" s="118" t="s">
        <v>6</v>
      </c>
      <c r="D68" s="118">
        <v>0</v>
      </c>
      <c r="E68" s="113"/>
      <c r="F68" s="118">
        <v>0</v>
      </c>
      <c r="G68" s="118">
        <v>0</v>
      </c>
      <c r="H68" s="118">
        <v>0</v>
      </c>
      <c r="I68" s="118">
        <v>0</v>
      </c>
      <c r="J68" s="309">
        <v>0</v>
      </c>
      <c r="K68" s="118">
        <v>0</v>
      </c>
      <c r="L68" s="118">
        <v>0</v>
      </c>
      <c r="M68" s="118">
        <v>0</v>
      </c>
      <c r="N68" s="118">
        <v>0</v>
      </c>
      <c r="O68" s="118">
        <v>0</v>
      </c>
      <c r="P68" s="118">
        <v>0</v>
      </c>
      <c r="Q68" s="297"/>
    </row>
    <row r="69" spans="1:17" x14ac:dyDescent="0.25">
      <c r="A69" s="2" t="s">
        <v>50</v>
      </c>
      <c r="B69" s="8">
        <v>65</v>
      </c>
      <c r="E69" s="105"/>
      <c r="F69" s="115"/>
      <c r="G69" s="115"/>
      <c r="H69" s="115"/>
      <c r="I69" s="115"/>
      <c r="J69" s="115"/>
      <c r="K69" s="115"/>
      <c r="L69" s="115"/>
      <c r="M69" s="115"/>
      <c r="N69" s="115"/>
      <c r="O69" s="115"/>
      <c r="P69" s="115"/>
      <c r="Q69" s="116"/>
    </row>
    <row r="70" spans="1:17" x14ac:dyDescent="0.25">
      <c r="A70" s="1" t="s">
        <v>42</v>
      </c>
      <c r="B70" s="8">
        <v>66</v>
      </c>
      <c r="C70" s="115">
        <v>20</v>
      </c>
      <c r="D70" s="115">
        <v>20</v>
      </c>
      <c r="E70" s="105"/>
      <c r="F70" s="115">
        <v>20</v>
      </c>
      <c r="G70" s="115">
        <v>20</v>
      </c>
      <c r="H70" s="115">
        <v>20</v>
      </c>
      <c r="I70" s="115">
        <v>20</v>
      </c>
      <c r="J70" s="115">
        <v>0</v>
      </c>
      <c r="K70" s="115">
        <v>20</v>
      </c>
      <c r="L70" s="115">
        <v>20</v>
      </c>
      <c r="M70" s="115">
        <v>20</v>
      </c>
      <c r="N70" s="115">
        <v>20</v>
      </c>
      <c r="O70" s="115">
        <v>20</v>
      </c>
      <c r="P70" s="115">
        <v>20</v>
      </c>
      <c r="Q70" s="116"/>
    </row>
    <row r="71" spans="1:17" x14ac:dyDescent="0.25">
      <c r="A71" s="1" t="s">
        <v>45</v>
      </c>
      <c r="B71" s="8">
        <v>67</v>
      </c>
      <c r="C71" s="115">
        <v>800</v>
      </c>
      <c r="D71" s="115">
        <v>800</v>
      </c>
      <c r="E71" s="105"/>
      <c r="F71" s="115">
        <v>800</v>
      </c>
      <c r="G71" s="115">
        <v>800</v>
      </c>
      <c r="H71" s="115">
        <v>800</v>
      </c>
      <c r="I71" s="115">
        <v>800</v>
      </c>
      <c r="J71" s="115">
        <v>0</v>
      </c>
      <c r="K71" s="115">
        <v>800</v>
      </c>
      <c r="L71" s="115">
        <v>800</v>
      </c>
      <c r="M71" s="115">
        <v>800</v>
      </c>
      <c r="N71" s="115">
        <v>800</v>
      </c>
      <c r="O71" s="115">
        <v>800</v>
      </c>
      <c r="P71" s="115">
        <v>800</v>
      </c>
      <c r="Q71" s="116"/>
    </row>
    <row r="72" spans="1:17" x14ac:dyDescent="0.25">
      <c r="A72" s="1" t="s">
        <v>43</v>
      </c>
      <c r="B72" s="8">
        <v>68</v>
      </c>
      <c r="C72" s="115">
        <v>2400</v>
      </c>
      <c r="D72" s="115">
        <v>2400</v>
      </c>
      <c r="E72" s="105"/>
      <c r="F72" s="115">
        <v>2400</v>
      </c>
      <c r="G72" s="115">
        <v>2400</v>
      </c>
      <c r="H72" s="115">
        <v>2400</v>
      </c>
      <c r="I72" s="115">
        <v>2400</v>
      </c>
      <c r="J72" s="115">
        <v>0</v>
      </c>
      <c r="K72" s="115">
        <v>2400</v>
      </c>
      <c r="L72" s="115">
        <v>2400</v>
      </c>
      <c r="M72" s="115">
        <v>2400</v>
      </c>
      <c r="N72" s="115">
        <v>2400</v>
      </c>
      <c r="O72" s="115">
        <v>2400</v>
      </c>
      <c r="P72" s="115">
        <v>2400</v>
      </c>
      <c r="Q72" s="116"/>
    </row>
    <row r="73" spans="1:17" x14ac:dyDescent="0.25">
      <c r="A73" s="2" t="s">
        <v>25</v>
      </c>
      <c r="B73" s="8">
        <v>69</v>
      </c>
      <c r="E73" s="105"/>
      <c r="F73" s="115"/>
      <c r="G73" s="115"/>
      <c r="H73" s="115"/>
      <c r="I73" s="115"/>
      <c r="J73" s="115"/>
      <c r="K73" s="115"/>
      <c r="L73" s="115"/>
      <c r="M73" s="115"/>
      <c r="N73" s="115"/>
      <c r="O73" s="115"/>
      <c r="P73" s="115"/>
      <c r="Q73" s="116"/>
    </row>
    <row r="74" spans="1:17" s="111" customFormat="1" x14ac:dyDescent="0.25">
      <c r="A74" s="111" t="s">
        <v>125</v>
      </c>
      <c r="B74" s="8">
        <v>70</v>
      </c>
      <c r="C74" s="118">
        <v>2450</v>
      </c>
      <c r="D74" s="118" t="s">
        <v>6</v>
      </c>
      <c r="E74" s="113"/>
      <c r="F74" s="118">
        <v>3400</v>
      </c>
      <c r="G74" s="118">
        <v>2700</v>
      </c>
      <c r="H74" s="118">
        <v>2450</v>
      </c>
      <c r="I74" s="118">
        <v>2000</v>
      </c>
      <c r="J74" s="118">
        <v>4200</v>
      </c>
      <c r="K74" s="118">
        <v>4810</v>
      </c>
      <c r="L74" s="118">
        <v>2600</v>
      </c>
      <c r="M74" s="118">
        <v>3400</v>
      </c>
      <c r="N74" s="118">
        <v>2500</v>
      </c>
      <c r="O74" s="118">
        <v>2900</v>
      </c>
      <c r="P74" s="118">
        <v>1800</v>
      </c>
      <c r="Q74" s="297"/>
    </row>
    <row r="75" spans="1:17" s="111" customFormat="1" x14ac:dyDescent="0.25">
      <c r="A75" s="111" t="s">
        <v>126</v>
      </c>
      <c r="B75" s="8">
        <v>71</v>
      </c>
      <c r="C75" s="118" t="s">
        <v>6</v>
      </c>
      <c r="D75" s="118">
        <v>2450</v>
      </c>
      <c r="E75" s="113"/>
      <c r="F75" s="118">
        <v>3400</v>
      </c>
      <c r="G75" s="118">
        <v>2700</v>
      </c>
      <c r="H75" s="118">
        <v>2450</v>
      </c>
      <c r="I75" s="118">
        <v>2000</v>
      </c>
      <c r="J75" s="118">
        <v>4200</v>
      </c>
      <c r="K75" s="118">
        <v>4810</v>
      </c>
      <c r="L75" s="118">
        <v>2600</v>
      </c>
      <c r="M75" s="118">
        <v>3400</v>
      </c>
      <c r="N75" s="118">
        <v>2500</v>
      </c>
      <c r="O75" s="118">
        <v>2900</v>
      </c>
      <c r="P75" s="118">
        <v>1800</v>
      </c>
      <c r="Q75" s="297"/>
    </row>
    <row r="76" spans="1:17" x14ac:dyDescent="0.25">
      <c r="A76" t="s">
        <v>52</v>
      </c>
      <c r="B76" s="8">
        <v>72</v>
      </c>
      <c r="C76" s="115">
        <v>2450</v>
      </c>
      <c r="D76" s="115">
        <v>2450</v>
      </c>
      <c r="E76" s="105"/>
      <c r="F76" s="115">
        <v>3400</v>
      </c>
      <c r="G76" s="303">
        <v>2700</v>
      </c>
      <c r="H76" s="115">
        <v>2450</v>
      </c>
      <c r="I76" s="115">
        <v>2000</v>
      </c>
      <c r="J76" s="303">
        <v>4200</v>
      </c>
      <c r="K76" s="115">
        <v>4810</v>
      </c>
      <c r="L76" s="115">
        <v>2600</v>
      </c>
      <c r="M76" s="303">
        <v>3400</v>
      </c>
      <c r="N76" s="115">
        <v>2500</v>
      </c>
      <c r="O76" s="303">
        <v>2900</v>
      </c>
      <c r="P76" s="115">
        <v>1800</v>
      </c>
      <c r="Q76" s="116"/>
    </row>
    <row r="77" spans="1:17" x14ac:dyDescent="0.25">
      <c r="A77" t="s">
        <v>53</v>
      </c>
      <c r="B77" s="8">
        <v>73</v>
      </c>
      <c r="C77" s="115">
        <v>4900</v>
      </c>
      <c r="D77" s="115">
        <v>4900</v>
      </c>
      <c r="E77" s="105"/>
      <c r="F77" s="115">
        <v>6800</v>
      </c>
      <c r="G77" s="303">
        <v>5400</v>
      </c>
      <c r="H77" s="115">
        <v>4900</v>
      </c>
      <c r="I77" s="115">
        <v>4000</v>
      </c>
      <c r="J77" s="303">
        <v>8400</v>
      </c>
      <c r="K77" s="115">
        <v>9620</v>
      </c>
      <c r="L77" s="303">
        <v>5200</v>
      </c>
      <c r="M77" s="303">
        <v>6800</v>
      </c>
      <c r="N77" s="115">
        <v>5000</v>
      </c>
      <c r="O77" s="303">
        <v>5800</v>
      </c>
      <c r="P77" s="303">
        <v>3700</v>
      </c>
      <c r="Q77" s="116"/>
    </row>
    <row r="78" spans="1:17" x14ac:dyDescent="0.25">
      <c r="A78" s="2" t="s">
        <v>24</v>
      </c>
      <c r="B78" s="8">
        <v>74</v>
      </c>
      <c r="E78" s="105"/>
      <c r="F78" s="115"/>
      <c r="G78" s="115"/>
      <c r="H78" s="115"/>
      <c r="I78" s="115"/>
      <c r="J78" s="115"/>
      <c r="K78" s="115"/>
      <c r="L78" s="115"/>
      <c r="M78" s="115"/>
      <c r="N78" s="115"/>
      <c r="O78" s="115"/>
      <c r="P78" s="115"/>
      <c r="Q78" s="116"/>
    </row>
    <row r="79" spans="1:17" s="111" customFormat="1" x14ac:dyDescent="0.25">
      <c r="A79" s="111" t="s">
        <v>133</v>
      </c>
      <c r="B79" s="8">
        <v>75</v>
      </c>
      <c r="C79" s="118">
        <v>3600</v>
      </c>
      <c r="D79" s="118" t="s">
        <v>6</v>
      </c>
      <c r="E79" s="113"/>
      <c r="F79" s="118">
        <v>3400</v>
      </c>
      <c r="G79" s="118">
        <v>2700</v>
      </c>
      <c r="H79" s="118">
        <v>3600</v>
      </c>
      <c r="I79" s="118">
        <v>2000</v>
      </c>
      <c r="J79" s="118">
        <v>4200</v>
      </c>
      <c r="K79" s="118">
        <v>4810</v>
      </c>
      <c r="L79" s="118">
        <v>3300</v>
      </c>
      <c r="M79" s="118">
        <v>3900</v>
      </c>
      <c r="N79" s="118">
        <v>3750</v>
      </c>
      <c r="O79" s="118">
        <v>4350</v>
      </c>
      <c r="P79" s="118">
        <v>2700</v>
      </c>
      <c r="Q79" s="297"/>
    </row>
    <row r="80" spans="1:17" s="111" customFormat="1" x14ac:dyDescent="0.25">
      <c r="A80" s="111" t="s">
        <v>141</v>
      </c>
      <c r="B80" s="8">
        <v>76</v>
      </c>
      <c r="C80" s="118" t="s">
        <v>6</v>
      </c>
      <c r="D80" s="118">
        <v>3600</v>
      </c>
      <c r="E80" s="113"/>
      <c r="F80" s="118">
        <v>3400</v>
      </c>
      <c r="G80" s="118">
        <v>2700</v>
      </c>
      <c r="H80" s="118">
        <v>3600</v>
      </c>
      <c r="I80" s="118">
        <v>2000</v>
      </c>
      <c r="J80" s="118">
        <v>4200</v>
      </c>
      <c r="K80" s="118">
        <v>4810</v>
      </c>
      <c r="L80" s="118">
        <v>3300</v>
      </c>
      <c r="M80" s="118">
        <v>3900</v>
      </c>
      <c r="N80" s="118">
        <v>3750</v>
      </c>
      <c r="O80" s="118">
        <v>4350</v>
      </c>
      <c r="P80" s="118">
        <v>2700</v>
      </c>
      <c r="Q80" s="297"/>
    </row>
    <row r="81" spans="1:17" x14ac:dyDescent="0.25">
      <c r="A81" t="s">
        <v>52</v>
      </c>
      <c r="B81" s="8">
        <v>77</v>
      </c>
      <c r="C81" s="115">
        <v>3600</v>
      </c>
      <c r="D81" s="115">
        <v>3600</v>
      </c>
      <c r="E81" s="105"/>
      <c r="F81" s="115">
        <v>3400</v>
      </c>
      <c r="G81" s="303">
        <v>2700</v>
      </c>
      <c r="H81" s="115">
        <v>3600</v>
      </c>
      <c r="I81" s="115">
        <v>2000</v>
      </c>
      <c r="J81" s="303">
        <v>4200</v>
      </c>
      <c r="K81" s="115">
        <v>4810</v>
      </c>
      <c r="L81" s="115">
        <v>3300</v>
      </c>
      <c r="M81" s="303">
        <v>3900</v>
      </c>
      <c r="N81" s="115">
        <v>3750</v>
      </c>
      <c r="O81" s="115">
        <v>4350</v>
      </c>
      <c r="P81" s="115">
        <v>2700</v>
      </c>
      <c r="Q81" s="116"/>
    </row>
    <row r="82" spans="1:17" x14ac:dyDescent="0.25">
      <c r="A82" t="s">
        <v>53</v>
      </c>
      <c r="B82" s="8">
        <v>78</v>
      </c>
      <c r="C82" s="115">
        <v>7200</v>
      </c>
      <c r="D82" s="115">
        <v>7200</v>
      </c>
      <c r="E82" s="105"/>
      <c r="F82" s="115">
        <v>6800</v>
      </c>
      <c r="G82" s="303">
        <v>5400</v>
      </c>
      <c r="H82" s="115">
        <v>7200</v>
      </c>
      <c r="I82" s="115">
        <v>4000</v>
      </c>
      <c r="J82" s="303">
        <v>8400</v>
      </c>
      <c r="K82" s="115">
        <v>9620</v>
      </c>
      <c r="L82" s="303">
        <v>6700</v>
      </c>
      <c r="M82" s="303">
        <v>7900</v>
      </c>
      <c r="N82" s="115">
        <v>7500</v>
      </c>
      <c r="O82" s="115">
        <v>8700</v>
      </c>
      <c r="P82" s="303">
        <v>5550</v>
      </c>
      <c r="Q82" s="116"/>
    </row>
    <row r="83" spans="1:17" x14ac:dyDescent="0.25">
      <c r="A83" s="2" t="s">
        <v>95</v>
      </c>
      <c r="B83" s="8">
        <v>79</v>
      </c>
      <c r="E83" s="105"/>
      <c r="F83" s="115"/>
      <c r="G83" s="115"/>
      <c r="H83" s="115"/>
      <c r="I83" s="115"/>
      <c r="J83" s="115"/>
      <c r="K83" s="115"/>
      <c r="L83" s="115"/>
      <c r="M83" s="115"/>
      <c r="N83" s="115"/>
      <c r="O83" s="115"/>
      <c r="P83" s="115"/>
      <c r="Q83" s="116"/>
    </row>
    <row r="84" spans="1:17" x14ac:dyDescent="0.25">
      <c r="A84" s="111" t="s">
        <v>127</v>
      </c>
      <c r="B84" s="8">
        <v>80</v>
      </c>
      <c r="C84" s="118">
        <v>1400</v>
      </c>
      <c r="D84" s="118" t="s">
        <v>6</v>
      </c>
      <c r="E84" s="105"/>
      <c r="F84" s="239">
        <v>0</v>
      </c>
      <c r="G84" s="298">
        <v>2000</v>
      </c>
      <c r="H84" s="298">
        <v>1400</v>
      </c>
      <c r="I84" s="298">
        <v>900</v>
      </c>
      <c r="J84" s="298">
        <v>0</v>
      </c>
      <c r="K84" s="298">
        <v>2280</v>
      </c>
      <c r="L84" s="298">
        <v>1400</v>
      </c>
      <c r="M84" s="298">
        <v>2200</v>
      </c>
      <c r="N84" s="298">
        <v>1300</v>
      </c>
      <c r="O84" s="298">
        <v>2400</v>
      </c>
      <c r="P84" s="298">
        <v>1400</v>
      </c>
      <c r="Q84" s="116"/>
    </row>
    <row r="85" spans="1:17" x14ac:dyDescent="0.25">
      <c r="A85" s="111" t="s">
        <v>142</v>
      </c>
      <c r="B85" s="8">
        <v>81</v>
      </c>
      <c r="C85" s="118" t="s">
        <v>6</v>
      </c>
      <c r="D85" s="118">
        <v>0</v>
      </c>
      <c r="E85" s="105"/>
      <c r="F85" s="239">
        <v>0</v>
      </c>
      <c r="G85" s="239">
        <v>0</v>
      </c>
      <c r="H85" s="298">
        <v>0</v>
      </c>
      <c r="I85" s="298">
        <v>0</v>
      </c>
      <c r="J85" s="298">
        <v>0</v>
      </c>
      <c r="K85" s="298">
        <v>0</v>
      </c>
      <c r="L85" s="298">
        <v>0</v>
      </c>
      <c r="M85" s="298">
        <v>0</v>
      </c>
      <c r="N85" s="298">
        <v>0</v>
      </c>
      <c r="O85" s="298">
        <v>0</v>
      </c>
      <c r="P85" s="298">
        <v>0</v>
      </c>
      <c r="Q85" s="116"/>
    </row>
    <row r="86" spans="1:17" x14ac:dyDescent="0.25">
      <c r="A86" s="85" t="s">
        <v>96</v>
      </c>
      <c r="B86" s="8">
        <v>82</v>
      </c>
      <c r="C86" s="115">
        <v>700</v>
      </c>
      <c r="D86" s="115">
        <v>700</v>
      </c>
      <c r="E86" s="105"/>
      <c r="F86" s="115">
        <v>0</v>
      </c>
      <c r="G86" s="115">
        <v>1000</v>
      </c>
      <c r="H86" s="115">
        <v>700</v>
      </c>
      <c r="I86" s="115">
        <v>450</v>
      </c>
      <c r="J86" s="115">
        <v>0</v>
      </c>
      <c r="K86" s="115">
        <v>1140</v>
      </c>
      <c r="L86" s="115">
        <v>700</v>
      </c>
      <c r="M86" s="303">
        <v>1100</v>
      </c>
      <c r="N86" s="115">
        <v>650</v>
      </c>
      <c r="O86" s="115">
        <v>1300</v>
      </c>
      <c r="P86" s="115">
        <v>700</v>
      </c>
      <c r="Q86" s="116"/>
    </row>
    <row r="87" spans="1:17" x14ac:dyDescent="0.25">
      <c r="A87" s="2" t="s">
        <v>107</v>
      </c>
      <c r="B87" s="8">
        <v>83</v>
      </c>
      <c r="E87" s="105"/>
      <c r="F87" s="115"/>
      <c r="G87" s="115"/>
      <c r="H87" s="115"/>
      <c r="I87" s="115"/>
      <c r="J87" s="115"/>
      <c r="K87" s="115"/>
      <c r="L87" s="115"/>
      <c r="M87" s="115"/>
      <c r="N87" s="115"/>
      <c r="O87" s="115"/>
      <c r="P87" s="115"/>
      <c r="Q87" s="116"/>
    </row>
    <row r="88" spans="1:17" x14ac:dyDescent="0.25">
      <c r="A88" s="111" t="s">
        <v>134</v>
      </c>
      <c r="B88" s="8">
        <v>84</v>
      </c>
      <c r="C88" s="118">
        <v>2400</v>
      </c>
      <c r="D88" s="118" t="s">
        <v>6</v>
      </c>
      <c r="E88" s="105"/>
      <c r="F88" s="309">
        <v>2400</v>
      </c>
      <c r="G88" s="118">
        <v>2400</v>
      </c>
      <c r="H88" s="118">
        <v>2400</v>
      </c>
      <c r="I88" s="118">
        <v>2400</v>
      </c>
      <c r="J88" s="118">
        <v>2400</v>
      </c>
      <c r="K88" s="118">
        <v>2400</v>
      </c>
      <c r="L88" s="118">
        <v>2400</v>
      </c>
      <c r="M88" s="118">
        <v>2400</v>
      </c>
      <c r="N88" s="118">
        <v>2400</v>
      </c>
      <c r="O88" s="118">
        <v>2400</v>
      </c>
      <c r="P88" s="118">
        <v>2400</v>
      </c>
      <c r="Q88" s="116"/>
    </row>
    <row r="89" spans="1:17" x14ac:dyDescent="0.25">
      <c r="A89" s="111" t="s">
        <v>143</v>
      </c>
      <c r="B89" s="8">
        <v>85</v>
      </c>
      <c r="C89" s="118" t="s">
        <v>6</v>
      </c>
      <c r="D89" s="118">
        <v>0</v>
      </c>
      <c r="E89" s="105"/>
      <c r="F89" s="309">
        <v>0</v>
      </c>
      <c r="G89" s="118">
        <v>0</v>
      </c>
      <c r="H89" s="118">
        <v>0</v>
      </c>
      <c r="I89" s="118">
        <v>0</v>
      </c>
      <c r="J89" s="118">
        <v>0</v>
      </c>
      <c r="K89" s="118">
        <v>0</v>
      </c>
      <c r="L89" s="118">
        <v>0</v>
      </c>
      <c r="M89" s="118">
        <v>0</v>
      </c>
      <c r="N89" s="118">
        <v>0</v>
      </c>
      <c r="O89" s="118">
        <v>0</v>
      </c>
      <c r="P89" s="118">
        <v>0</v>
      </c>
      <c r="Q89" s="116"/>
    </row>
    <row r="90" spans="1:17" x14ac:dyDescent="0.25">
      <c r="A90" t="s">
        <v>44</v>
      </c>
      <c r="B90" s="8">
        <v>86</v>
      </c>
      <c r="C90" s="115">
        <v>16000</v>
      </c>
      <c r="D90" s="115">
        <v>16000</v>
      </c>
      <c r="E90" s="105"/>
      <c r="F90" s="303">
        <v>25000</v>
      </c>
      <c r="G90" s="303">
        <v>25000</v>
      </c>
      <c r="H90" s="115">
        <v>16000</v>
      </c>
      <c r="I90" s="115">
        <v>10000</v>
      </c>
      <c r="J90" s="303">
        <v>26000</v>
      </c>
      <c r="K90" s="115">
        <v>12000</v>
      </c>
      <c r="L90" s="303">
        <v>18000</v>
      </c>
      <c r="M90" s="303">
        <v>26700</v>
      </c>
      <c r="N90" s="303">
        <v>25000</v>
      </c>
      <c r="O90" s="115">
        <v>25000</v>
      </c>
      <c r="P90" s="303">
        <v>25800</v>
      </c>
      <c r="Q90" s="116"/>
    </row>
    <row r="91" spans="1:17" x14ac:dyDescent="0.25">
      <c r="A91" s="2" t="s">
        <v>35</v>
      </c>
      <c r="B91" s="8">
        <v>87</v>
      </c>
      <c r="E91" s="105"/>
      <c r="F91" s="115"/>
      <c r="G91" s="115"/>
      <c r="H91" s="115"/>
      <c r="I91" s="115"/>
      <c r="J91" s="115"/>
      <c r="K91" s="115"/>
      <c r="L91" s="115"/>
      <c r="M91" s="115"/>
      <c r="N91" s="115"/>
      <c r="O91" s="115"/>
      <c r="P91" s="115"/>
      <c r="Q91" s="116"/>
    </row>
    <row r="92" spans="1:17" x14ac:dyDescent="0.25">
      <c r="A92" t="s">
        <v>5</v>
      </c>
      <c r="B92" s="8">
        <v>88</v>
      </c>
      <c r="C92" s="115">
        <v>5300</v>
      </c>
      <c r="D92" s="115">
        <v>5300</v>
      </c>
      <c r="E92" s="105"/>
      <c r="F92" s="115">
        <v>0</v>
      </c>
      <c r="G92" s="115">
        <v>0</v>
      </c>
      <c r="H92" s="115">
        <v>5300</v>
      </c>
      <c r="I92" s="115">
        <v>0</v>
      </c>
      <c r="J92" s="303">
        <v>19500</v>
      </c>
      <c r="K92" s="115">
        <v>0</v>
      </c>
      <c r="L92" s="115">
        <v>0</v>
      </c>
      <c r="M92" s="115">
        <v>0</v>
      </c>
      <c r="N92" s="115">
        <v>0</v>
      </c>
      <c r="O92" s="115">
        <v>0</v>
      </c>
      <c r="P92" s="115" t="s">
        <v>6</v>
      </c>
      <c r="Q92" s="116"/>
    </row>
    <row r="93" spans="1:17" x14ac:dyDescent="0.25">
      <c r="A93" t="s">
        <v>33</v>
      </c>
      <c r="B93" s="8">
        <v>89</v>
      </c>
      <c r="C93" s="115">
        <v>5300</v>
      </c>
      <c r="D93" s="115">
        <v>5300</v>
      </c>
      <c r="E93" s="105"/>
      <c r="F93" s="115">
        <v>0</v>
      </c>
      <c r="G93" s="115">
        <v>0</v>
      </c>
      <c r="H93" s="115">
        <v>5300</v>
      </c>
      <c r="I93" s="115">
        <v>0</v>
      </c>
      <c r="J93" s="303">
        <v>38000</v>
      </c>
      <c r="K93" s="115">
        <v>0</v>
      </c>
      <c r="L93" s="115">
        <v>0</v>
      </c>
      <c r="M93" s="115">
        <v>0</v>
      </c>
      <c r="N93" s="115">
        <v>0</v>
      </c>
      <c r="O93" s="115">
        <v>0</v>
      </c>
      <c r="P93" s="115">
        <v>2800</v>
      </c>
      <c r="Q93" s="116"/>
    </row>
    <row r="94" spans="1:17" x14ac:dyDescent="0.25">
      <c r="A94" s="111" t="s">
        <v>128</v>
      </c>
      <c r="B94" s="8">
        <v>90</v>
      </c>
      <c r="C94" s="118">
        <v>2400</v>
      </c>
      <c r="D94" s="118" t="s">
        <v>6</v>
      </c>
      <c r="E94" s="105"/>
      <c r="F94" s="115">
        <v>0</v>
      </c>
      <c r="G94" s="115">
        <v>0</v>
      </c>
      <c r="H94" s="115">
        <v>2400</v>
      </c>
      <c r="I94" s="115">
        <v>0</v>
      </c>
      <c r="J94" s="115">
        <v>0</v>
      </c>
      <c r="K94" s="115">
        <v>0</v>
      </c>
      <c r="L94" s="115">
        <v>0</v>
      </c>
      <c r="M94" s="115">
        <v>0</v>
      </c>
      <c r="N94" s="115">
        <v>0</v>
      </c>
      <c r="O94" s="115">
        <v>0</v>
      </c>
      <c r="P94" s="115" t="s">
        <v>6</v>
      </c>
      <c r="Q94" s="116"/>
    </row>
    <row r="95" spans="1:17" x14ac:dyDescent="0.25">
      <c r="A95" s="111" t="s">
        <v>154</v>
      </c>
      <c r="B95" s="8">
        <v>91</v>
      </c>
      <c r="C95" s="118" t="s">
        <v>6</v>
      </c>
      <c r="D95" s="118">
        <v>2400</v>
      </c>
      <c r="E95" s="105"/>
      <c r="F95" s="115">
        <v>0</v>
      </c>
      <c r="G95" s="115">
        <v>0</v>
      </c>
      <c r="H95" s="115">
        <v>2400</v>
      </c>
      <c r="I95" s="115">
        <v>0</v>
      </c>
      <c r="J95" s="115">
        <v>0</v>
      </c>
      <c r="K95" s="115">
        <v>0</v>
      </c>
      <c r="L95" s="115">
        <v>0</v>
      </c>
      <c r="M95" s="115">
        <v>0</v>
      </c>
      <c r="N95" s="115">
        <v>0</v>
      </c>
      <c r="O95" s="115">
        <v>0</v>
      </c>
      <c r="P95" s="115" t="s">
        <v>6</v>
      </c>
      <c r="Q95" s="116"/>
    </row>
    <row r="96" spans="1:17" x14ac:dyDescent="0.25">
      <c r="A96" t="s">
        <v>7</v>
      </c>
      <c r="B96" s="8">
        <v>92</v>
      </c>
      <c r="C96" s="115">
        <v>8300</v>
      </c>
      <c r="D96" s="115">
        <v>8300</v>
      </c>
      <c r="E96" s="105"/>
      <c r="F96" s="303">
        <v>9300</v>
      </c>
      <c r="G96" s="303">
        <v>5300</v>
      </c>
      <c r="H96" s="115">
        <v>8300</v>
      </c>
      <c r="I96" s="115">
        <v>0</v>
      </c>
      <c r="J96" s="303">
        <v>9000</v>
      </c>
      <c r="K96" s="115">
        <v>8600</v>
      </c>
      <c r="L96" s="303">
        <v>8000</v>
      </c>
      <c r="M96" s="303">
        <v>7600</v>
      </c>
      <c r="N96" s="115">
        <v>9000</v>
      </c>
      <c r="O96" s="303">
        <v>9300</v>
      </c>
      <c r="P96" s="303">
        <v>6800</v>
      </c>
      <c r="Q96" s="116"/>
    </row>
    <row r="97" spans="1:17" x14ac:dyDescent="0.25">
      <c r="A97" s="111" t="s">
        <v>135</v>
      </c>
      <c r="B97" s="8">
        <v>93</v>
      </c>
      <c r="C97" s="118">
        <v>2600</v>
      </c>
      <c r="D97" s="118" t="s">
        <v>6</v>
      </c>
      <c r="E97" s="105"/>
      <c r="F97" s="115">
        <v>0</v>
      </c>
      <c r="G97" s="115">
        <v>0</v>
      </c>
      <c r="H97" s="239">
        <v>2600</v>
      </c>
      <c r="I97" s="235">
        <v>0</v>
      </c>
      <c r="J97" s="309">
        <v>13100</v>
      </c>
      <c r="K97" s="235">
        <v>0</v>
      </c>
      <c r="L97" s="235">
        <v>0</v>
      </c>
      <c r="M97" s="235">
        <v>0</v>
      </c>
      <c r="N97" s="115">
        <v>0</v>
      </c>
      <c r="O97" s="115">
        <v>0</v>
      </c>
      <c r="P97" s="115" t="s">
        <v>6</v>
      </c>
      <c r="Q97" s="116"/>
    </row>
    <row r="98" spans="1:17" x14ac:dyDescent="0.25">
      <c r="A98" s="111" t="s">
        <v>136</v>
      </c>
      <c r="B98" s="8">
        <v>94</v>
      </c>
      <c r="C98" s="118" t="s">
        <v>6</v>
      </c>
      <c r="D98" s="118">
        <v>0</v>
      </c>
      <c r="E98" s="105"/>
      <c r="F98" s="115">
        <v>0</v>
      </c>
      <c r="G98" s="115">
        <v>0</v>
      </c>
      <c r="H98" s="239">
        <v>0</v>
      </c>
      <c r="I98" s="235">
        <v>0</v>
      </c>
      <c r="J98" s="309">
        <v>0</v>
      </c>
      <c r="K98" s="235">
        <v>0</v>
      </c>
      <c r="L98" s="235">
        <v>0</v>
      </c>
      <c r="M98" s="235">
        <v>0</v>
      </c>
      <c r="N98" s="115">
        <v>0</v>
      </c>
      <c r="O98" s="115">
        <v>0</v>
      </c>
      <c r="P98" s="115" t="s">
        <v>6</v>
      </c>
      <c r="Q98" s="116"/>
    </row>
    <row r="99" spans="1:17" x14ac:dyDescent="0.25">
      <c r="A99" t="s">
        <v>34</v>
      </c>
      <c r="B99" s="8">
        <v>95</v>
      </c>
      <c r="C99" s="115">
        <v>6400</v>
      </c>
      <c r="D99" s="115">
        <v>6400</v>
      </c>
      <c r="E99" s="105"/>
      <c r="F99" s="115">
        <v>0</v>
      </c>
      <c r="G99" s="115">
        <v>0</v>
      </c>
      <c r="H99" s="115">
        <v>6400</v>
      </c>
      <c r="I99" s="115">
        <v>0</v>
      </c>
      <c r="J99" s="115">
        <v>0</v>
      </c>
      <c r="K99" s="115">
        <v>0</v>
      </c>
      <c r="L99" s="303">
        <v>5200</v>
      </c>
      <c r="M99" s="303">
        <v>13700</v>
      </c>
      <c r="N99" s="115">
        <v>0</v>
      </c>
      <c r="O99" s="115">
        <v>0</v>
      </c>
      <c r="P99" s="115" t="s">
        <v>6</v>
      </c>
      <c r="Q99" s="116"/>
    </row>
    <row r="100" spans="1:17" x14ac:dyDescent="0.25">
      <c r="A100" s="85" t="s">
        <v>97</v>
      </c>
      <c r="B100" s="8">
        <v>96</v>
      </c>
      <c r="C100" s="115">
        <v>4800</v>
      </c>
      <c r="D100" s="115">
        <v>4800</v>
      </c>
      <c r="E100" s="105"/>
      <c r="F100" s="303">
        <v>2500</v>
      </c>
      <c r="G100" s="115">
        <v>0</v>
      </c>
      <c r="H100" s="115">
        <v>4800</v>
      </c>
      <c r="I100" s="115">
        <v>2000</v>
      </c>
      <c r="J100" s="303">
        <v>5800</v>
      </c>
      <c r="K100" s="115">
        <v>5000</v>
      </c>
      <c r="L100" s="115">
        <v>2700</v>
      </c>
      <c r="M100" s="115">
        <v>0</v>
      </c>
      <c r="N100" s="115">
        <v>2000</v>
      </c>
      <c r="O100" s="115">
        <v>2700</v>
      </c>
      <c r="P100" s="310">
        <v>6800</v>
      </c>
      <c r="Q100" s="116"/>
    </row>
    <row r="101" spans="1:17" s="111" customFormat="1" x14ac:dyDescent="0.25">
      <c r="A101" s="111" t="s">
        <v>129</v>
      </c>
      <c r="B101" s="8">
        <v>97</v>
      </c>
      <c r="C101" s="118">
        <v>0</v>
      </c>
      <c r="D101" s="118" t="s">
        <v>6</v>
      </c>
      <c r="E101" s="113"/>
      <c r="F101" s="309">
        <v>0</v>
      </c>
      <c r="G101" s="309">
        <v>4200</v>
      </c>
      <c r="H101" s="118"/>
      <c r="I101" s="309" t="s">
        <v>190</v>
      </c>
      <c r="J101" s="309" t="s">
        <v>190</v>
      </c>
      <c r="K101" s="118">
        <v>0</v>
      </c>
      <c r="L101" s="309">
        <v>0</v>
      </c>
      <c r="M101" s="309">
        <v>6400</v>
      </c>
      <c r="N101" s="118"/>
      <c r="O101" s="118"/>
      <c r="P101" s="115" t="s">
        <v>6</v>
      </c>
      <c r="Q101" s="297"/>
    </row>
    <row r="102" spans="1:17" s="111" customFormat="1" x14ac:dyDescent="0.25">
      <c r="A102" s="111" t="s">
        <v>137</v>
      </c>
      <c r="B102" s="8">
        <v>98</v>
      </c>
      <c r="C102" s="118" t="s">
        <v>6</v>
      </c>
      <c r="D102" s="118">
        <v>0</v>
      </c>
      <c r="E102" s="113"/>
      <c r="F102" s="309">
        <v>0</v>
      </c>
      <c r="G102" s="309">
        <v>0</v>
      </c>
      <c r="H102" s="118"/>
      <c r="I102" s="309" t="s">
        <v>190</v>
      </c>
      <c r="J102" s="309" t="s">
        <v>190</v>
      </c>
      <c r="K102" s="118">
        <v>0</v>
      </c>
      <c r="L102" s="309">
        <v>0</v>
      </c>
      <c r="M102" s="309">
        <v>0</v>
      </c>
      <c r="N102" s="118"/>
      <c r="O102" s="118"/>
      <c r="P102" s="115" t="s">
        <v>6</v>
      </c>
      <c r="Q102" s="297"/>
    </row>
    <row r="103" spans="1:17" s="111" customFormat="1" x14ac:dyDescent="0.25">
      <c r="A103" s="111" t="s">
        <v>130</v>
      </c>
      <c r="B103" s="8">
        <v>99</v>
      </c>
      <c r="C103" s="118">
        <v>0</v>
      </c>
      <c r="D103" s="118" t="s">
        <v>6</v>
      </c>
      <c r="E103" s="113"/>
      <c r="F103" s="118"/>
      <c r="G103" s="309">
        <v>0</v>
      </c>
      <c r="H103" s="118"/>
      <c r="I103" s="118"/>
      <c r="J103" s="118"/>
      <c r="K103" s="118">
        <v>-2300</v>
      </c>
      <c r="L103" s="309">
        <v>4000</v>
      </c>
      <c r="M103" s="118"/>
      <c r="N103" s="118"/>
      <c r="O103" s="118"/>
      <c r="P103" s="115" t="s">
        <v>6</v>
      </c>
      <c r="Q103" s="297"/>
    </row>
    <row r="104" spans="1:17" s="111" customFormat="1" x14ac:dyDescent="0.25">
      <c r="A104" s="111" t="s">
        <v>138</v>
      </c>
      <c r="B104" s="8">
        <v>100</v>
      </c>
      <c r="C104" s="118" t="s">
        <v>6</v>
      </c>
      <c r="D104" s="118">
        <v>0</v>
      </c>
      <c r="E104" s="113"/>
      <c r="F104" s="309">
        <v>0</v>
      </c>
      <c r="G104" s="309">
        <v>0</v>
      </c>
      <c r="H104" s="118"/>
      <c r="I104" s="118"/>
      <c r="J104" s="118"/>
      <c r="K104" s="118" t="s">
        <v>190</v>
      </c>
      <c r="L104" s="118"/>
      <c r="M104" s="118"/>
      <c r="N104" s="118"/>
      <c r="O104" s="118"/>
      <c r="P104" s="115" t="s">
        <v>6</v>
      </c>
      <c r="Q104" s="297"/>
    </row>
    <row r="105" spans="1:17" s="111" customFormat="1" x14ac:dyDescent="0.25">
      <c r="A105" s="111" t="s">
        <v>131</v>
      </c>
      <c r="B105" s="8">
        <v>101</v>
      </c>
      <c r="C105" s="118">
        <v>0</v>
      </c>
      <c r="D105" s="118" t="s">
        <v>6</v>
      </c>
      <c r="E105" s="114"/>
      <c r="F105" s="118">
        <v>0</v>
      </c>
      <c r="G105" s="118"/>
      <c r="H105" s="118">
        <v>0</v>
      </c>
      <c r="I105" s="118"/>
      <c r="J105" s="118"/>
      <c r="K105" s="118">
        <v>0</v>
      </c>
      <c r="L105" s="309">
        <v>0</v>
      </c>
      <c r="M105" s="118"/>
      <c r="N105" s="118"/>
      <c r="O105" s="118"/>
      <c r="P105" s="115" t="s">
        <v>6</v>
      </c>
      <c r="Q105" s="297"/>
    </row>
    <row r="106" spans="1:17" s="111" customFormat="1" x14ac:dyDescent="0.25">
      <c r="A106" s="111" t="s">
        <v>139</v>
      </c>
      <c r="B106" s="8">
        <v>102</v>
      </c>
      <c r="C106" s="118" t="s">
        <v>6</v>
      </c>
      <c r="D106" s="118">
        <v>0</v>
      </c>
      <c r="E106" s="114"/>
      <c r="F106" s="118">
        <v>0</v>
      </c>
      <c r="G106" s="118"/>
      <c r="H106" s="118">
        <v>0</v>
      </c>
      <c r="I106" s="118"/>
      <c r="J106" s="118"/>
      <c r="K106" s="118">
        <v>0</v>
      </c>
      <c r="L106" s="309">
        <v>0</v>
      </c>
      <c r="M106" s="118"/>
      <c r="N106" s="118"/>
      <c r="O106" s="118"/>
      <c r="P106" s="115" t="s">
        <v>6</v>
      </c>
      <c r="Q106" s="297"/>
    </row>
    <row r="107" spans="1:17" s="111" customFormat="1" x14ac:dyDescent="0.25">
      <c r="A107" s="111" t="s">
        <v>132</v>
      </c>
      <c r="B107" s="8">
        <v>103</v>
      </c>
      <c r="C107" s="118">
        <v>0</v>
      </c>
      <c r="D107" s="118" t="s">
        <v>6</v>
      </c>
      <c r="E107" s="113"/>
      <c r="F107" s="118"/>
      <c r="G107" s="118"/>
      <c r="H107" s="118">
        <v>0</v>
      </c>
      <c r="I107" s="118"/>
      <c r="J107" s="118"/>
      <c r="K107" s="118"/>
      <c r="L107" s="118"/>
      <c r="M107" s="118"/>
      <c r="N107" s="118"/>
      <c r="O107" s="118"/>
      <c r="P107" s="115" t="s">
        <v>6</v>
      </c>
      <c r="Q107" s="297"/>
    </row>
    <row r="108" spans="1:17" s="111" customFormat="1" x14ac:dyDescent="0.25">
      <c r="A108" s="111" t="s">
        <v>140</v>
      </c>
      <c r="B108" s="8">
        <v>104</v>
      </c>
      <c r="C108" s="118" t="s">
        <v>6</v>
      </c>
      <c r="D108" s="118">
        <v>0</v>
      </c>
      <c r="E108" s="113"/>
      <c r="F108" s="118"/>
      <c r="G108" s="118"/>
      <c r="H108" s="118">
        <v>0</v>
      </c>
      <c r="I108" s="118"/>
      <c r="J108" s="118"/>
      <c r="K108" s="118">
        <v>0</v>
      </c>
      <c r="L108" s="118"/>
      <c r="M108" s="118"/>
      <c r="N108" s="118"/>
      <c r="O108" s="118"/>
      <c r="P108" s="115" t="s">
        <v>6</v>
      </c>
      <c r="Q108" s="297"/>
    </row>
    <row r="109" spans="1:17" s="111" customFormat="1" x14ac:dyDescent="0.25">
      <c r="B109" s="8">
        <v>105</v>
      </c>
      <c r="C109" s="118"/>
      <c r="D109" s="118"/>
      <c r="E109" s="113"/>
      <c r="F109" s="118"/>
      <c r="G109" s="118"/>
      <c r="H109" s="118"/>
      <c r="I109" s="118"/>
      <c r="J109" s="118"/>
      <c r="K109" s="118"/>
      <c r="L109" s="118"/>
      <c r="M109" s="118"/>
      <c r="N109" s="118"/>
      <c r="O109" s="118"/>
      <c r="P109" s="118"/>
      <c r="Q109" s="297"/>
    </row>
    <row r="110" spans="1:17" s="111" customFormat="1" x14ac:dyDescent="0.25">
      <c r="A110" s="112" t="s">
        <v>153</v>
      </c>
      <c r="B110" s="8">
        <v>106</v>
      </c>
      <c r="C110" s="143">
        <v>1816.3</v>
      </c>
      <c r="D110" s="118" t="s">
        <v>6</v>
      </c>
      <c r="E110" s="114"/>
      <c r="F110" s="118">
        <v>1546</v>
      </c>
      <c r="G110" s="118">
        <v>0</v>
      </c>
      <c r="H110" s="118">
        <v>1816.3</v>
      </c>
      <c r="I110" s="118">
        <v>1628.9941858213565</v>
      </c>
      <c r="J110" s="118">
        <v>11487</v>
      </c>
      <c r="K110" s="118">
        <v>3071.6255708633093</v>
      </c>
      <c r="L110" s="118">
        <v>1274.5</v>
      </c>
      <c r="M110" s="118">
        <v>1722</v>
      </c>
      <c r="N110" s="118">
        <v>2052</v>
      </c>
      <c r="O110" s="118">
        <v>1651</v>
      </c>
      <c r="P110" s="115" t="s">
        <v>6</v>
      </c>
      <c r="Q110" s="297"/>
    </row>
    <row r="111" spans="1:17" s="111" customFormat="1" x14ac:dyDescent="0.25">
      <c r="A111" s="111" t="s">
        <v>151</v>
      </c>
      <c r="B111" s="8">
        <v>107</v>
      </c>
      <c r="C111" s="118">
        <v>0</v>
      </c>
      <c r="D111" s="118" t="s">
        <v>6</v>
      </c>
      <c r="E111" s="114"/>
      <c r="F111" s="118"/>
      <c r="G111" s="118"/>
      <c r="H111" s="118"/>
      <c r="I111" s="118">
        <v>1500</v>
      </c>
      <c r="J111" s="118"/>
      <c r="K111" s="118"/>
      <c r="L111" s="118"/>
      <c r="M111" s="118"/>
      <c r="N111" s="118"/>
      <c r="O111" s="118"/>
      <c r="P111" s="115" t="s">
        <v>6</v>
      </c>
      <c r="Q111" s="297"/>
    </row>
    <row r="112" spans="1:17" s="111" customFormat="1" x14ac:dyDescent="0.25">
      <c r="A112" s="111" t="s">
        <v>152</v>
      </c>
      <c r="B112" s="8">
        <v>108</v>
      </c>
      <c r="C112" s="118">
        <v>0</v>
      </c>
      <c r="D112" s="118" t="s">
        <v>6</v>
      </c>
      <c r="E112" s="114"/>
      <c r="F112" s="118"/>
      <c r="G112" s="118"/>
      <c r="H112" s="118"/>
      <c r="I112" s="118">
        <v>2550</v>
      </c>
      <c r="J112" s="118"/>
      <c r="K112" s="118"/>
      <c r="L112" s="118"/>
      <c r="M112" s="118"/>
      <c r="N112" s="118"/>
      <c r="O112" s="118"/>
      <c r="P112" s="115" t="s">
        <v>6</v>
      </c>
      <c r="Q112" s="297"/>
    </row>
    <row r="113" spans="1:17" s="111" customFormat="1" x14ac:dyDescent="0.25">
      <c r="B113" s="8">
        <v>109</v>
      </c>
      <c r="C113" s="118"/>
      <c r="D113" s="118"/>
      <c r="E113" s="113"/>
      <c r="F113" s="118"/>
      <c r="G113" s="118"/>
      <c r="H113" s="118"/>
      <c r="I113" s="118"/>
      <c r="J113" s="118"/>
      <c r="K113" s="118"/>
      <c r="L113" s="118"/>
      <c r="M113" s="118"/>
      <c r="N113" s="118"/>
      <c r="O113" s="118"/>
      <c r="P113" s="118"/>
      <c r="Q113" s="297"/>
    </row>
    <row r="114" spans="1:17" s="111" customFormat="1" x14ac:dyDescent="0.25">
      <c r="A114" s="112" t="s">
        <v>144</v>
      </c>
      <c r="B114" s="8">
        <v>110</v>
      </c>
      <c r="C114" s="118" t="s">
        <v>6</v>
      </c>
      <c r="D114" s="143">
        <v>1612.9499999999998</v>
      </c>
      <c r="E114" s="113"/>
      <c r="F114" s="118">
        <v>1760</v>
      </c>
      <c r="G114" s="118">
        <v>0</v>
      </c>
      <c r="H114" s="118">
        <v>1612.9499999999998</v>
      </c>
      <c r="I114" s="118">
        <v>2448.4405705710633</v>
      </c>
      <c r="J114" s="118">
        <v>8862</v>
      </c>
      <c r="K114" s="118">
        <v>3113.4348461538466</v>
      </c>
      <c r="L114" s="118">
        <v>1271.5</v>
      </c>
      <c r="M114" s="118">
        <v>1920</v>
      </c>
      <c r="N114" s="118">
        <v>2370</v>
      </c>
      <c r="O114" s="118">
        <v>1524</v>
      </c>
      <c r="P114" s="115" t="s">
        <v>6</v>
      </c>
      <c r="Q114" s="297"/>
    </row>
    <row r="115" spans="1:17" s="111" customFormat="1" x14ac:dyDescent="0.25">
      <c r="A115" s="111" t="s">
        <v>145</v>
      </c>
      <c r="B115" s="8">
        <v>111</v>
      </c>
      <c r="C115" s="118" t="s">
        <v>6</v>
      </c>
      <c r="D115" s="118">
        <v>0</v>
      </c>
      <c r="E115" s="113"/>
      <c r="F115" s="118"/>
      <c r="G115" s="118"/>
      <c r="H115" s="118"/>
      <c r="I115" s="118">
        <v>0</v>
      </c>
      <c r="J115" s="118"/>
      <c r="K115" s="118"/>
      <c r="L115" s="118"/>
      <c r="M115" s="118"/>
      <c r="N115" s="118"/>
      <c r="O115" s="118"/>
      <c r="P115" s="115" t="s">
        <v>6</v>
      </c>
      <c r="Q115" s="297"/>
    </row>
    <row r="116" spans="1:17" s="111" customFormat="1" x14ac:dyDescent="0.25">
      <c r="A116" s="111" t="s">
        <v>146</v>
      </c>
      <c r="B116" s="8">
        <v>112</v>
      </c>
      <c r="C116" s="118" t="s">
        <v>6</v>
      </c>
      <c r="D116" s="118">
        <v>0</v>
      </c>
      <c r="E116" s="113"/>
      <c r="F116" s="118"/>
      <c r="G116" s="118"/>
      <c r="H116" s="118"/>
      <c r="I116" s="118">
        <v>0</v>
      </c>
      <c r="J116" s="118"/>
      <c r="K116" s="118"/>
      <c r="L116" s="118"/>
      <c r="M116" s="118"/>
      <c r="N116" s="118"/>
      <c r="O116" s="118"/>
      <c r="P116" s="115" t="s">
        <v>6</v>
      </c>
      <c r="Q116" s="297"/>
    </row>
    <row r="117" spans="1:17" x14ac:dyDescent="0.25">
      <c r="B117" s="8">
        <v>113</v>
      </c>
      <c r="E117" s="105"/>
      <c r="F117" s="115"/>
      <c r="G117" s="115"/>
      <c r="H117" s="115"/>
      <c r="I117" s="115"/>
      <c r="J117" s="115"/>
      <c r="K117" s="115"/>
      <c r="L117" s="115"/>
      <c r="M117" s="115"/>
      <c r="N117" s="115"/>
      <c r="O117" s="115"/>
      <c r="P117" s="115"/>
      <c r="Q117" s="116"/>
    </row>
    <row r="118" spans="1:17" x14ac:dyDescent="0.25">
      <c r="A118" s="12" t="s">
        <v>37</v>
      </c>
      <c r="B118" s="8">
        <v>114</v>
      </c>
      <c r="E118" s="105"/>
      <c r="F118" s="115"/>
      <c r="G118" s="115"/>
      <c r="H118" s="115"/>
      <c r="I118" s="115"/>
      <c r="J118" s="115"/>
      <c r="K118" s="115"/>
      <c r="L118" s="115"/>
      <c r="M118" s="115"/>
      <c r="N118" s="115"/>
      <c r="O118" s="115"/>
      <c r="P118" s="115"/>
      <c r="Q118" s="116"/>
    </row>
    <row r="119" spans="1:17" x14ac:dyDescent="0.25">
      <c r="A119" t="s">
        <v>5</v>
      </c>
      <c r="B119" s="8">
        <v>115</v>
      </c>
      <c r="C119" s="115">
        <v>0</v>
      </c>
      <c r="D119" s="115">
        <v>0</v>
      </c>
      <c r="E119" s="105"/>
      <c r="F119" s="303">
        <v>130000</v>
      </c>
      <c r="G119" s="115">
        <v>75000</v>
      </c>
      <c r="H119" s="115">
        <v>0</v>
      </c>
      <c r="I119" s="303">
        <v>90000</v>
      </c>
      <c r="J119" s="115">
        <v>75000</v>
      </c>
      <c r="K119" s="115">
        <v>0</v>
      </c>
      <c r="L119" s="115">
        <v>62500</v>
      </c>
      <c r="M119" s="115">
        <v>75000</v>
      </c>
      <c r="N119" s="149">
        <v>60000</v>
      </c>
      <c r="O119" s="115">
        <v>0</v>
      </c>
      <c r="P119" s="115" t="s">
        <v>6</v>
      </c>
      <c r="Q119" s="116"/>
    </row>
    <row r="120" spans="1:17" x14ac:dyDescent="0.25">
      <c r="A120" t="s">
        <v>33</v>
      </c>
      <c r="B120" s="8">
        <v>116</v>
      </c>
      <c r="C120" s="115">
        <v>0</v>
      </c>
      <c r="D120" s="115">
        <v>0</v>
      </c>
      <c r="E120" s="105"/>
      <c r="F120" s="303">
        <v>260000</v>
      </c>
      <c r="G120" s="115">
        <v>150000</v>
      </c>
      <c r="H120" s="115">
        <v>0</v>
      </c>
      <c r="I120" s="303">
        <v>180000</v>
      </c>
      <c r="J120" s="115">
        <v>150000</v>
      </c>
      <c r="K120" s="115">
        <v>0</v>
      </c>
      <c r="L120" s="115">
        <v>125000</v>
      </c>
      <c r="M120" s="115">
        <v>150000</v>
      </c>
      <c r="N120" s="115">
        <v>100000</v>
      </c>
      <c r="O120" s="115">
        <v>0</v>
      </c>
      <c r="P120" s="115" t="s">
        <v>6</v>
      </c>
      <c r="Q120" s="116"/>
    </row>
    <row r="121" spans="1:17" x14ac:dyDescent="0.25">
      <c r="A121" t="s">
        <v>7</v>
      </c>
      <c r="B121" s="8">
        <v>117</v>
      </c>
      <c r="C121" s="115">
        <v>18000</v>
      </c>
      <c r="D121" s="115">
        <v>18000</v>
      </c>
      <c r="E121" s="105"/>
      <c r="F121" s="303">
        <v>16000</v>
      </c>
      <c r="G121" s="115">
        <v>25000</v>
      </c>
      <c r="H121" s="115">
        <v>18000</v>
      </c>
      <c r="I121" s="115">
        <v>0</v>
      </c>
      <c r="J121" s="115">
        <v>15000</v>
      </c>
      <c r="K121" s="115">
        <v>0</v>
      </c>
      <c r="L121" s="115">
        <v>12500</v>
      </c>
      <c r="M121" s="115">
        <v>20000</v>
      </c>
      <c r="N121" s="115">
        <v>20000</v>
      </c>
      <c r="O121" s="115">
        <v>0</v>
      </c>
      <c r="P121" s="115" t="s">
        <v>6</v>
      </c>
      <c r="Q121" s="116"/>
    </row>
    <row r="122" spans="1:17" x14ac:dyDescent="0.25">
      <c r="A122" t="s">
        <v>38</v>
      </c>
      <c r="B122" s="8">
        <v>118</v>
      </c>
      <c r="C122" s="115">
        <v>0</v>
      </c>
      <c r="D122" s="115">
        <v>0</v>
      </c>
      <c r="E122" s="105"/>
      <c r="F122" s="115">
        <v>0</v>
      </c>
      <c r="G122" s="115">
        <v>0</v>
      </c>
      <c r="H122" s="115">
        <v>0</v>
      </c>
      <c r="I122" s="115">
        <v>0</v>
      </c>
      <c r="J122" s="115">
        <v>0</v>
      </c>
      <c r="K122" s="115">
        <v>0</v>
      </c>
      <c r="L122" s="115">
        <v>0</v>
      </c>
      <c r="M122" s="115">
        <v>0</v>
      </c>
      <c r="N122" s="115">
        <v>0</v>
      </c>
      <c r="O122" s="115">
        <v>0</v>
      </c>
      <c r="P122" s="115" t="s">
        <v>6</v>
      </c>
      <c r="Q122" s="116"/>
    </row>
    <row r="123" spans="1:17" s="111" customFormat="1" x14ac:dyDescent="0.25">
      <c r="A123" s="111" t="s">
        <v>149</v>
      </c>
      <c r="B123" s="8">
        <v>119</v>
      </c>
      <c r="C123" s="118">
        <v>0</v>
      </c>
      <c r="D123" s="118" t="s">
        <v>6</v>
      </c>
      <c r="E123" s="113"/>
      <c r="F123" s="235">
        <v>0</v>
      </c>
      <c r="G123" s="235">
        <v>0</v>
      </c>
      <c r="H123" s="235">
        <v>0</v>
      </c>
      <c r="I123" s="309">
        <v>90000</v>
      </c>
      <c r="J123" s="118">
        <v>50000</v>
      </c>
      <c r="K123" s="118">
        <v>105000</v>
      </c>
      <c r="L123" s="235">
        <v>0</v>
      </c>
      <c r="M123" s="235">
        <v>0</v>
      </c>
      <c r="N123" s="118">
        <v>40000</v>
      </c>
      <c r="O123" s="235">
        <v>0</v>
      </c>
      <c r="P123" s="115" t="s">
        <v>6</v>
      </c>
      <c r="Q123" s="297"/>
    </row>
    <row r="124" spans="1:17" s="111" customFormat="1" x14ac:dyDescent="0.25">
      <c r="A124" s="111" t="s">
        <v>147</v>
      </c>
      <c r="B124" s="8">
        <v>120</v>
      </c>
      <c r="C124" s="118" t="s">
        <v>6</v>
      </c>
      <c r="D124" s="118">
        <v>0</v>
      </c>
      <c r="E124" s="113"/>
      <c r="F124" s="235">
        <v>0</v>
      </c>
      <c r="G124" s="235">
        <v>0</v>
      </c>
      <c r="H124" s="235">
        <v>0</v>
      </c>
      <c r="I124" s="309">
        <v>0</v>
      </c>
      <c r="J124" s="118">
        <v>0</v>
      </c>
      <c r="K124" s="118">
        <v>55000</v>
      </c>
      <c r="L124" s="235">
        <v>0</v>
      </c>
      <c r="M124" s="235">
        <v>0</v>
      </c>
      <c r="N124" s="118">
        <v>0</v>
      </c>
      <c r="O124" s="235">
        <v>0</v>
      </c>
      <c r="P124" s="115" t="s">
        <v>6</v>
      </c>
      <c r="Q124" s="297"/>
    </row>
    <row r="125" spans="1:17" s="111" customFormat="1" x14ac:dyDescent="0.25">
      <c r="B125" s="8">
        <v>121</v>
      </c>
      <c r="C125" s="118"/>
      <c r="D125" s="118"/>
      <c r="E125" s="113"/>
      <c r="F125" s="118"/>
      <c r="G125" s="118"/>
      <c r="H125" s="118"/>
      <c r="I125" s="118"/>
      <c r="J125" s="118"/>
      <c r="K125" s="118"/>
      <c r="L125" s="118"/>
      <c r="M125" s="118"/>
      <c r="N125" s="118"/>
      <c r="O125" s="118"/>
      <c r="P125" s="118"/>
      <c r="Q125" s="297"/>
    </row>
    <row r="126" spans="1:17" s="111" customFormat="1" x14ac:dyDescent="0.25">
      <c r="A126" s="112" t="s">
        <v>150</v>
      </c>
      <c r="B126" s="8">
        <v>122</v>
      </c>
      <c r="C126" s="143">
        <v>0</v>
      </c>
      <c r="D126" s="118" t="s">
        <v>6</v>
      </c>
      <c r="E126" s="114"/>
      <c r="F126" s="118">
        <v>0</v>
      </c>
      <c r="G126" s="118">
        <v>0</v>
      </c>
      <c r="H126" s="118">
        <v>0</v>
      </c>
      <c r="I126" s="118">
        <v>0</v>
      </c>
      <c r="J126" s="118">
        <v>0</v>
      </c>
      <c r="K126" s="118">
        <v>0</v>
      </c>
      <c r="L126" s="118">
        <v>0</v>
      </c>
      <c r="M126" s="118">
        <v>0</v>
      </c>
      <c r="N126" s="118">
        <v>0</v>
      </c>
      <c r="O126" s="118">
        <v>0</v>
      </c>
      <c r="P126" s="115" t="s">
        <v>6</v>
      </c>
      <c r="Q126" s="297"/>
    </row>
    <row r="127" spans="1:17" s="111" customFormat="1" x14ac:dyDescent="0.25">
      <c r="A127" s="111" t="s">
        <v>151</v>
      </c>
      <c r="B127" s="8">
        <v>123</v>
      </c>
      <c r="C127" s="118">
        <v>0</v>
      </c>
      <c r="D127" s="118" t="s">
        <v>6</v>
      </c>
      <c r="E127" s="114"/>
      <c r="F127" s="118"/>
      <c r="G127" s="118"/>
      <c r="H127" s="118">
        <v>0</v>
      </c>
      <c r="I127" s="118"/>
      <c r="J127" s="118"/>
      <c r="K127" s="118"/>
      <c r="L127" s="118"/>
      <c r="M127" s="118"/>
      <c r="N127" s="118"/>
      <c r="O127" s="118"/>
      <c r="P127" s="115" t="s">
        <v>6</v>
      </c>
      <c r="Q127" s="297"/>
    </row>
    <row r="128" spans="1:17" s="111" customFormat="1" x14ac:dyDescent="0.25">
      <c r="A128" s="111" t="s">
        <v>152</v>
      </c>
      <c r="B128" s="8">
        <v>124</v>
      </c>
      <c r="C128" s="118">
        <v>0</v>
      </c>
      <c r="D128" s="118" t="s">
        <v>6</v>
      </c>
      <c r="E128" s="114"/>
      <c r="F128" s="118"/>
      <c r="G128" s="118"/>
      <c r="H128" s="118"/>
      <c r="I128" s="118"/>
      <c r="J128" s="118"/>
      <c r="K128" s="118"/>
      <c r="L128" s="118"/>
      <c r="M128" s="118"/>
      <c r="N128" s="118"/>
      <c r="O128" s="118"/>
      <c r="P128" s="115" t="s">
        <v>6</v>
      </c>
      <c r="Q128" s="297"/>
    </row>
    <row r="129" spans="1:17" s="111" customFormat="1" x14ac:dyDescent="0.25">
      <c r="B129" s="8">
        <v>125</v>
      </c>
      <c r="C129" s="118"/>
      <c r="D129" s="118"/>
      <c r="E129" s="113"/>
      <c r="F129" s="118"/>
      <c r="G129" s="118"/>
      <c r="H129" s="118"/>
      <c r="I129" s="118"/>
      <c r="J129" s="118"/>
      <c r="K129" s="118"/>
      <c r="L129" s="118"/>
      <c r="M129" s="118"/>
      <c r="N129" s="118"/>
      <c r="O129" s="118"/>
      <c r="P129" s="118"/>
      <c r="Q129" s="297"/>
    </row>
    <row r="130" spans="1:17" s="111" customFormat="1" x14ac:dyDescent="0.25">
      <c r="A130" s="112" t="s">
        <v>148</v>
      </c>
      <c r="B130" s="8">
        <v>126</v>
      </c>
      <c r="C130" s="118" t="s">
        <v>6</v>
      </c>
      <c r="D130" s="143">
        <v>0</v>
      </c>
      <c r="E130" s="113"/>
      <c r="F130" s="118">
        <v>0</v>
      </c>
      <c r="G130" s="118">
        <v>0</v>
      </c>
      <c r="H130" s="118">
        <v>0</v>
      </c>
      <c r="I130" s="118">
        <v>0</v>
      </c>
      <c r="J130" s="118">
        <v>0</v>
      </c>
      <c r="K130" s="118">
        <v>0</v>
      </c>
      <c r="L130" s="118">
        <v>0</v>
      </c>
      <c r="M130" s="118">
        <v>0</v>
      </c>
      <c r="N130" s="118">
        <v>0</v>
      </c>
      <c r="O130" s="118">
        <v>0</v>
      </c>
      <c r="P130" s="115" t="s">
        <v>6</v>
      </c>
      <c r="Q130" s="297"/>
    </row>
    <row r="131" spans="1:17" s="111" customFormat="1" x14ac:dyDescent="0.25">
      <c r="A131" s="111" t="s">
        <v>145</v>
      </c>
      <c r="B131" s="8">
        <v>127</v>
      </c>
      <c r="C131" s="118" t="s">
        <v>6</v>
      </c>
      <c r="D131" s="118">
        <v>0</v>
      </c>
      <c r="E131" s="113"/>
      <c r="F131" s="118"/>
      <c r="G131" s="118"/>
      <c r="H131" s="118">
        <v>0</v>
      </c>
      <c r="I131" s="118"/>
      <c r="J131" s="118"/>
      <c r="K131" s="118"/>
      <c r="L131" s="118"/>
      <c r="M131" s="118"/>
      <c r="N131" s="118"/>
      <c r="O131" s="118"/>
      <c r="P131" s="115" t="s">
        <v>6</v>
      </c>
      <c r="Q131" s="297"/>
    </row>
    <row r="132" spans="1:17" s="111" customFormat="1" x14ac:dyDescent="0.25">
      <c r="A132" s="111" t="s">
        <v>146</v>
      </c>
      <c r="B132" s="8">
        <v>128</v>
      </c>
      <c r="C132" s="118" t="s">
        <v>6</v>
      </c>
      <c r="D132" s="118">
        <v>0</v>
      </c>
      <c r="E132" s="113"/>
      <c r="F132" s="118"/>
      <c r="G132" s="118"/>
      <c r="H132" s="118"/>
      <c r="I132" s="118"/>
      <c r="J132" s="118"/>
      <c r="K132" s="118"/>
      <c r="L132" s="118"/>
      <c r="M132" s="118"/>
      <c r="N132" s="118"/>
      <c r="O132" s="118"/>
      <c r="P132" s="115" t="s">
        <v>6</v>
      </c>
      <c r="Q132" s="297"/>
    </row>
    <row r="133" spans="1:17" x14ac:dyDescent="0.25">
      <c r="A133" s="1"/>
      <c r="B133" s="8">
        <v>129</v>
      </c>
      <c r="E133" s="105"/>
      <c r="F133" s="115"/>
      <c r="G133" s="115"/>
      <c r="H133" s="115"/>
      <c r="I133" s="115"/>
      <c r="J133" s="115"/>
      <c r="K133" s="115"/>
      <c r="L133" s="115"/>
      <c r="M133" s="115"/>
      <c r="N133" s="115"/>
      <c r="O133" s="115"/>
      <c r="P133" s="115"/>
      <c r="Q133" s="116"/>
    </row>
    <row r="134" spans="1:17" x14ac:dyDescent="0.25">
      <c r="A134" s="1"/>
      <c r="B134" s="8">
        <v>130</v>
      </c>
      <c r="E134" s="105"/>
      <c r="F134" s="115"/>
      <c r="G134" s="115"/>
      <c r="H134" s="115"/>
      <c r="I134" s="115"/>
      <c r="J134" s="115"/>
      <c r="K134" s="115"/>
      <c r="L134" s="115"/>
      <c r="M134" s="115"/>
      <c r="N134" s="115"/>
      <c r="O134" s="115"/>
      <c r="P134" s="115"/>
      <c r="Q134" s="116"/>
    </row>
    <row r="135" spans="1:17" x14ac:dyDescent="0.25">
      <c r="A135" s="1"/>
      <c r="B135" s="8">
        <v>131</v>
      </c>
      <c r="E135" s="105"/>
      <c r="F135" s="115"/>
      <c r="G135" s="115"/>
      <c r="H135" s="115"/>
      <c r="I135" s="115"/>
      <c r="J135" s="115"/>
      <c r="K135" s="115"/>
      <c r="L135" s="115"/>
      <c r="M135" s="115"/>
      <c r="N135" s="115"/>
      <c r="O135" s="115"/>
      <c r="P135" s="115"/>
      <c r="Q135" s="116"/>
    </row>
    <row r="136" spans="1:17" x14ac:dyDescent="0.25">
      <c r="A136" s="1"/>
      <c r="B136" s="8"/>
      <c r="E136" s="105"/>
    </row>
    <row r="137" spans="1:17" x14ac:dyDescent="0.25">
      <c r="A137" s="1"/>
      <c r="B137" s="8"/>
      <c r="E137" s="105"/>
    </row>
    <row r="138" spans="1:17" x14ac:dyDescent="0.25">
      <c r="B138" s="8"/>
      <c r="E138" s="105"/>
    </row>
    <row r="139" spans="1:17" x14ac:dyDescent="0.25">
      <c r="B139" s="8"/>
      <c r="E139" s="105"/>
    </row>
  </sheetData>
  <phoneticPr fontId="0" type="noConversion"/>
  <hyperlinks>
    <hyperlink ref="C1" r:id="rId1" display="© www.berechnungsblaetter.ch 01.01" xr:uid="{00000000-0004-0000-0600-000000000000}"/>
  </hyperlinks>
  <pageMargins left="0.78740157499999996" right="0.78740157499999996" top="0.5" bottom="0.55000000000000004" header="0.4921259845" footer="0.26"/>
  <pageSetup paperSize="9" scale="81" fitToHeight="3" orientation="landscape" blackAndWhite="1" horizontalDpi="4294967294" r:id="rId2"/>
  <headerFooter alignWithMargins="0">
    <oddFooter>&amp;C&amp;D&amp;R Seite &amp;P</oddFooter>
  </headerFooter>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pageSetUpPr fitToPage="1"/>
  </sheetPr>
  <dimension ref="A1:Q274"/>
  <sheetViews>
    <sheetView workbookViewId="0">
      <pane xSplit="3" topLeftCell="D1" activePane="topRight" state="frozen"/>
      <selection activeCell="A76" sqref="A76"/>
      <selection pane="topRight" activeCell="A2" sqref="A2"/>
      <extLst>
        <ext xmlns:xlsdti="http://schemas.microsoft.com/office/spreadsheetml/2023/showDataTypeIcons" uri="{77bfe23e-c014-4d31-8a63-9c772dbf06b6}">
          <xlsdti:showDataTypeIcons visible="0"/>
        </ext>
      </extLst>
    </sheetView>
  </sheetViews>
  <sheetFormatPr baseColWidth="10" defaultRowHeight="13.2" x14ac:dyDescent="0.25"/>
  <cols>
    <col min="1" max="1" width="23.5546875" customWidth="1"/>
    <col min="2" max="2" width="13.44140625" style="15" bestFit="1" customWidth="1"/>
    <col min="3" max="3" width="2.33203125" customWidth="1"/>
    <col min="4" max="4" width="12.33203125" style="13" customWidth="1"/>
    <col min="5" max="5" width="11.44140625" style="13" customWidth="1"/>
    <col min="6" max="6" width="11.5546875" style="13" customWidth="1"/>
    <col min="7" max="7" width="13.88671875" style="13" customWidth="1"/>
    <col min="8" max="8" width="13.109375" customWidth="1"/>
    <col min="9" max="9" width="11" customWidth="1"/>
    <col min="10" max="10" width="12.109375" bestFit="1" customWidth="1"/>
    <col min="11" max="11" width="13.88671875" customWidth="1"/>
    <col min="13" max="13" width="12.109375" customWidth="1"/>
    <col min="15" max="15" width="13.6640625" customWidth="1"/>
  </cols>
  <sheetData>
    <row r="1" spans="1:9" ht="17.399999999999999" x14ac:dyDescent="0.3">
      <c r="A1" s="7" t="s">
        <v>20</v>
      </c>
      <c r="D1" s="17" t="s">
        <v>76</v>
      </c>
      <c r="G1" s="168" t="s">
        <v>164</v>
      </c>
    </row>
    <row r="3" spans="1:9" ht="15.6" x14ac:dyDescent="0.3">
      <c r="A3" s="305" t="s">
        <v>167</v>
      </c>
      <c r="B3" s="306"/>
    </row>
    <row r="4" spans="1:9" x14ac:dyDescent="0.25">
      <c r="D4" s="30" t="s">
        <v>10</v>
      </c>
      <c r="E4" s="22"/>
      <c r="F4" s="31" t="s">
        <v>11</v>
      </c>
      <c r="G4" s="30" t="s">
        <v>10</v>
      </c>
      <c r="H4" s="22"/>
      <c r="I4" s="31" t="s">
        <v>11</v>
      </c>
    </row>
    <row r="5" spans="1:9" x14ac:dyDescent="0.25">
      <c r="A5" s="19" t="s">
        <v>187</v>
      </c>
      <c r="D5" s="33" t="s">
        <v>14</v>
      </c>
      <c r="F5" s="31"/>
      <c r="G5" s="34" t="s">
        <v>15</v>
      </c>
      <c r="H5" s="13"/>
      <c r="I5" s="32"/>
    </row>
    <row r="6" spans="1:9" x14ac:dyDescent="0.25">
      <c r="A6" t="s">
        <v>12</v>
      </c>
      <c r="B6" s="76">
        <v>68700</v>
      </c>
      <c r="D6" s="307">
        <v>0</v>
      </c>
      <c r="E6" s="13">
        <v>0</v>
      </c>
      <c r="F6" s="32">
        <v>0</v>
      </c>
      <c r="G6" s="307">
        <v>0</v>
      </c>
      <c r="H6" s="13">
        <v>0</v>
      </c>
      <c r="I6" s="32">
        <v>0</v>
      </c>
    </row>
    <row r="7" spans="1:9" x14ac:dyDescent="0.25">
      <c r="A7" s="1" t="s">
        <v>16</v>
      </c>
      <c r="B7" s="20"/>
      <c r="D7" s="307">
        <v>15200</v>
      </c>
      <c r="E7" s="13">
        <v>0</v>
      </c>
      <c r="F7" s="32">
        <v>0.77</v>
      </c>
      <c r="G7" s="307">
        <v>29700</v>
      </c>
      <c r="H7" s="13">
        <v>0</v>
      </c>
      <c r="I7" s="32">
        <v>1</v>
      </c>
    </row>
    <row r="8" spans="1:9" x14ac:dyDescent="0.25">
      <c r="A8" s="1" t="s">
        <v>3</v>
      </c>
      <c r="B8" s="20">
        <v>929.82999999999993</v>
      </c>
      <c r="D8" s="307">
        <v>33200</v>
      </c>
      <c r="E8" s="13">
        <v>138.6</v>
      </c>
      <c r="F8" s="32">
        <v>0.88</v>
      </c>
      <c r="G8" s="307">
        <v>53400</v>
      </c>
      <c r="H8" s="13">
        <v>237</v>
      </c>
      <c r="I8" s="32">
        <v>2</v>
      </c>
    </row>
    <row r="9" spans="1:9" x14ac:dyDescent="0.25">
      <c r="A9" s="85" t="s">
        <v>17</v>
      </c>
      <c r="B9" s="20">
        <v>617</v>
      </c>
      <c r="D9" s="307">
        <v>43500</v>
      </c>
      <c r="E9" s="13">
        <v>229.24</v>
      </c>
      <c r="F9" s="32">
        <v>2.64</v>
      </c>
      <c r="G9" s="307">
        <v>61300</v>
      </c>
      <c r="H9" s="13">
        <v>395</v>
      </c>
      <c r="I9" s="32">
        <v>3</v>
      </c>
    </row>
    <row r="10" spans="1:9" x14ac:dyDescent="0.25">
      <c r="D10" s="307">
        <v>58000</v>
      </c>
      <c r="E10" s="13">
        <v>612.04</v>
      </c>
      <c r="F10" s="32">
        <v>2.97</v>
      </c>
      <c r="G10" s="307">
        <v>79100</v>
      </c>
      <c r="H10" s="13">
        <v>929</v>
      </c>
      <c r="I10" s="32">
        <v>4</v>
      </c>
    </row>
    <row r="11" spans="1:9" x14ac:dyDescent="0.25">
      <c r="A11" s="19" t="s">
        <v>186</v>
      </c>
      <c r="D11" s="307">
        <v>76100</v>
      </c>
      <c r="E11" s="13">
        <v>1149.6100000000001</v>
      </c>
      <c r="F11" s="32">
        <v>5.94</v>
      </c>
      <c r="G11" s="307">
        <v>94900</v>
      </c>
      <c r="H11" s="13">
        <v>1561</v>
      </c>
      <c r="I11" s="32">
        <v>5</v>
      </c>
    </row>
    <row r="12" spans="1:9" x14ac:dyDescent="0.25">
      <c r="A12" t="s">
        <v>12</v>
      </c>
      <c r="B12" s="76">
        <v>50600</v>
      </c>
      <c r="D12" s="307">
        <v>82000</v>
      </c>
      <c r="E12" s="13">
        <v>1500.0700000000002</v>
      </c>
      <c r="F12" s="32">
        <v>6.6</v>
      </c>
      <c r="G12" s="307">
        <v>108600</v>
      </c>
      <c r="H12" s="13">
        <v>2246</v>
      </c>
      <c r="I12" s="32">
        <v>6</v>
      </c>
    </row>
    <row r="13" spans="1:9" x14ac:dyDescent="0.25">
      <c r="A13" s="1" t="s">
        <v>16</v>
      </c>
      <c r="B13" s="20"/>
      <c r="D13" s="307">
        <v>108800</v>
      </c>
      <c r="E13" s="13">
        <v>3268.87</v>
      </c>
      <c r="F13" s="32">
        <v>8.8000000000000007</v>
      </c>
      <c r="G13" s="307">
        <v>120500</v>
      </c>
      <c r="H13" s="13">
        <v>2960</v>
      </c>
      <c r="I13" s="32">
        <v>7</v>
      </c>
    </row>
    <row r="14" spans="1:9" x14ac:dyDescent="0.25">
      <c r="A14" s="1" t="s">
        <v>3</v>
      </c>
      <c r="B14" s="20">
        <v>416.68</v>
      </c>
      <c r="D14" s="307">
        <v>141500</v>
      </c>
      <c r="E14" s="13">
        <v>6146.4699999999993</v>
      </c>
      <c r="F14" s="32">
        <v>11</v>
      </c>
      <c r="G14" s="307">
        <v>130500</v>
      </c>
      <c r="H14" s="13">
        <v>3660</v>
      </c>
      <c r="I14" s="32">
        <v>8</v>
      </c>
    </row>
    <row r="15" spans="1:9" x14ac:dyDescent="0.25">
      <c r="A15" s="85" t="s">
        <v>17</v>
      </c>
      <c r="B15" s="20">
        <v>209</v>
      </c>
      <c r="D15" s="307">
        <v>184900</v>
      </c>
      <c r="E15" s="13">
        <v>10920.47</v>
      </c>
      <c r="F15" s="32">
        <v>13.2</v>
      </c>
      <c r="G15" s="307">
        <v>138300</v>
      </c>
      <c r="H15" s="13">
        <v>4284</v>
      </c>
      <c r="I15" s="32">
        <v>9</v>
      </c>
    </row>
    <row r="16" spans="1:9" x14ac:dyDescent="0.25">
      <c r="D16" s="307">
        <v>793300</v>
      </c>
      <c r="E16" s="13">
        <v>91229.27</v>
      </c>
      <c r="F16" s="32">
        <v>11.5</v>
      </c>
      <c r="G16" s="307">
        <v>144200</v>
      </c>
      <c r="H16" s="13">
        <v>4815</v>
      </c>
      <c r="I16" s="32">
        <v>10</v>
      </c>
    </row>
    <row r="17" spans="1:15" x14ac:dyDescent="0.25">
      <c r="D17"/>
      <c r="E17"/>
      <c r="F17"/>
      <c r="G17" s="307">
        <v>148200</v>
      </c>
      <c r="H17" s="13">
        <v>5215</v>
      </c>
      <c r="I17" s="32">
        <v>11</v>
      </c>
    </row>
    <row r="18" spans="1:15" x14ac:dyDescent="0.25">
      <c r="D18"/>
      <c r="E18"/>
      <c r="F18"/>
      <c r="G18" s="307">
        <v>150300</v>
      </c>
      <c r="H18" s="13">
        <v>5446</v>
      </c>
      <c r="I18" s="32">
        <v>12</v>
      </c>
    </row>
    <row r="19" spans="1:15" x14ac:dyDescent="0.25">
      <c r="D19"/>
      <c r="E19"/>
      <c r="F19"/>
      <c r="G19" s="307">
        <v>152300</v>
      </c>
      <c r="H19" s="13">
        <v>5686</v>
      </c>
      <c r="I19" s="32">
        <v>13</v>
      </c>
    </row>
    <row r="20" spans="1:15" x14ac:dyDescent="0.25">
      <c r="A20" s="17"/>
      <c r="D20"/>
      <c r="E20"/>
      <c r="F20"/>
      <c r="G20" s="307">
        <v>940800</v>
      </c>
      <c r="H20" s="13">
        <v>108191</v>
      </c>
      <c r="I20" s="32">
        <v>11.5</v>
      </c>
    </row>
    <row r="21" spans="1:15" x14ac:dyDescent="0.25">
      <c r="D21"/>
      <c r="E21"/>
      <c r="F21"/>
      <c r="G21" s="21"/>
      <c r="H21" s="21"/>
      <c r="I21" s="21"/>
    </row>
    <row r="22" spans="1:15" x14ac:dyDescent="0.25">
      <c r="D22"/>
      <c r="E22"/>
      <c r="F22"/>
      <c r="G22" s="21"/>
      <c r="H22" s="21"/>
      <c r="I22" s="21"/>
    </row>
    <row r="23" spans="1:15" ht="15.6" x14ac:dyDescent="0.3">
      <c r="A23" s="14" t="s">
        <v>69</v>
      </c>
    </row>
    <row r="24" spans="1:15" x14ac:dyDescent="0.25">
      <c r="A24" s="302" t="s">
        <v>168</v>
      </c>
      <c r="D24" s="3" t="s">
        <v>4</v>
      </c>
      <c r="E24" s="15"/>
      <c r="F24" s="18"/>
      <c r="G24" s="18"/>
      <c r="H24" s="18"/>
      <c r="I24" s="18"/>
      <c r="J24" s="3" t="s">
        <v>8</v>
      </c>
    </row>
    <row r="25" spans="1:15" x14ac:dyDescent="0.25">
      <c r="D25" s="30" t="s">
        <v>10</v>
      </c>
      <c r="E25" s="22"/>
      <c r="F25" s="31" t="s">
        <v>11</v>
      </c>
      <c r="G25" s="30"/>
      <c r="H25" s="22"/>
      <c r="I25" s="31"/>
      <c r="J25" s="30" t="s">
        <v>10</v>
      </c>
      <c r="K25" s="22"/>
      <c r="L25" s="31" t="s">
        <v>11</v>
      </c>
      <c r="M25" s="30" t="s">
        <v>10</v>
      </c>
      <c r="N25" s="22"/>
      <c r="O25" s="31" t="s">
        <v>11</v>
      </c>
    </row>
    <row r="26" spans="1:15" x14ac:dyDescent="0.25">
      <c r="A26" s="19" t="s">
        <v>187</v>
      </c>
      <c r="D26" s="33" t="s">
        <v>14</v>
      </c>
      <c r="E26" s="31"/>
      <c r="F26" s="31"/>
      <c r="G26" s="34" t="s">
        <v>15</v>
      </c>
      <c r="H26" s="32"/>
      <c r="I26" s="30"/>
      <c r="J26" s="33" t="s">
        <v>14</v>
      </c>
      <c r="K26" s="31"/>
      <c r="L26" s="31"/>
      <c r="M26" s="34" t="s">
        <v>15</v>
      </c>
      <c r="N26" s="32"/>
      <c r="O26" s="30"/>
    </row>
    <row r="27" spans="1:15" x14ac:dyDescent="0.25">
      <c r="A27" s="2" t="s">
        <v>12</v>
      </c>
      <c r="B27" s="76">
        <v>54700</v>
      </c>
      <c r="D27" s="300">
        <v>0</v>
      </c>
      <c r="E27" s="13">
        <v>0</v>
      </c>
      <c r="F27" s="32">
        <v>0</v>
      </c>
      <c r="G27" s="32" t="s">
        <v>61</v>
      </c>
      <c r="H27" s="13"/>
      <c r="I27" s="32"/>
      <c r="J27" s="301">
        <v>0</v>
      </c>
      <c r="K27" s="13">
        <v>0</v>
      </c>
      <c r="L27" s="301">
        <v>0.7</v>
      </c>
      <c r="M27" s="301">
        <v>0</v>
      </c>
      <c r="N27" s="13">
        <v>0</v>
      </c>
      <c r="O27" s="301">
        <v>0.7</v>
      </c>
    </row>
    <row r="28" spans="1:15" x14ac:dyDescent="0.25">
      <c r="A28" s="312" t="s">
        <v>170</v>
      </c>
      <c r="B28" s="306">
        <v>27350</v>
      </c>
      <c r="D28" s="301">
        <v>4300</v>
      </c>
      <c r="E28" s="13">
        <v>0</v>
      </c>
      <c r="F28" s="165">
        <v>1</v>
      </c>
      <c r="G28" s="304" t="s">
        <v>94</v>
      </c>
      <c r="H28" s="307"/>
      <c r="I28" s="32"/>
      <c r="J28" s="301">
        <v>107000</v>
      </c>
      <c r="K28" s="13">
        <v>74.900000000000006</v>
      </c>
      <c r="L28" s="301">
        <v>1</v>
      </c>
      <c r="M28" s="301">
        <v>107000</v>
      </c>
      <c r="N28" s="13">
        <v>74.900000000000006</v>
      </c>
      <c r="O28" s="301">
        <v>1</v>
      </c>
    </row>
    <row r="29" spans="1:15" x14ac:dyDescent="0.25">
      <c r="A29" s="1" t="s">
        <v>13</v>
      </c>
      <c r="B29" s="20"/>
      <c r="D29" s="301">
        <v>8100</v>
      </c>
      <c r="E29" s="13">
        <v>38</v>
      </c>
      <c r="F29" s="165">
        <v>2</v>
      </c>
      <c r="G29" s="304" t="s">
        <v>93</v>
      </c>
      <c r="H29" s="324">
        <v>2</v>
      </c>
      <c r="I29" s="32"/>
      <c r="J29" s="301">
        <v>214000</v>
      </c>
      <c r="K29" s="13">
        <v>181.9</v>
      </c>
      <c r="L29" s="301">
        <v>1.2</v>
      </c>
      <c r="M29" s="301">
        <v>214000</v>
      </c>
      <c r="N29" s="13">
        <v>181.9</v>
      </c>
      <c r="O29" s="301">
        <v>1.2</v>
      </c>
    </row>
    <row r="30" spans="1:15" x14ac:dyDescent="0.25">
      <c r="A30" s="1" t="s">
        <v>3</v>
      </c>
      <c r="B30" s="20">
        <v>2777</v>
      </c>
      <c r="D30" s="301">
        <v>12000</v>
      </c>
      <c r="E30" s="13">
        <v>116</v>
      </c>
      <c r="F30" s="165">
        <v>3</v>
      </c>
      <c r="G30" s="32"/>
      <c r="H30" s="13"/>
      <c r="I30" s="32"/>
      <c r="J30" s="301">
        <v>321000</v>
      </c>
      <c r="K30" s="13">
        <v>310.3</v>
      </c>
      <c r="L30" s="301">
        <v>1.4</v>
      </c>
      <c r="M30" s="301">
        <v>321000</v>
      </c>
      <c r="N30" s="13">
        <v>310.3</v>
      </c>
      <c r="O30" s="301">
        <v>1.4</v>
      </c>
    </row>
    <row r="31" spans="1:15" x14ac:dyDescent="0.25">
      <c r="A31" s="1" t="s">
        <v>17</v>
      </c>
      <c r="B31" s="20">
        <v>1546</v>
      </c>
      <c r="D31" s="301">
        <v>16200</v>
      </c>
      <c r="E31" s="13">
        <v>242</v>
      </c>
      <c r="F31" s="165">
        <v>4</v>
      </c>
      <c r="G31" s="32"/>
      <c r="H31" s="13"/>
      <c r="I31" s="32"/>
      <c r="J31" s="301">
        <v>428000</v>
      </c>
      <c r="K31" s="13">
        <v>460.1</v>
      </c>
      <c r="L31" s="301">
        <v>1.6</v>
      </c>
      <c r="M31" s="301">
        <v>428000</v>
      </c>
      <c r="N31" s="13">
        <v>460.1</v>
      </c>
      <c r="O31" s="301">
        <v>1.6</v>
      </c>
    </row>
    <row r="32" spans="1:15" x14ac:dyDescent="0.25">
      <c r="A32" s="2" t="s">
        <v>9</v>
      </c>
      <c r="B32" s="76">
        <v>0</v>
      </c>
      <c r="D32" s="301">
        <v>20500</v>
      </c>
      <c r="E32" s="13">
        <v>414</v>
      </c>
      <c r="F32" s="165">
        <v>5</v>
      </c>
      <c r="G32" s="32"/>
      <c r="H32" s="13"/>
      <c r="I32" s="32"/>
      <c r="J32" s="165"/>
      <c r="K32" s="13"/>
      <c r="L32" s="165"/>
      <c r="M32" s="165"/>
      <c r="N32" s="13"/>
      <c r="O32" s="165"/>
    </row>
    <row r="33" spans="1:15" x14ac:dyDescent="0.25">
      <c r="A33" s="1" t="s">
        <v>13</v>
      </c>
      <c r="D33" s="301">
        <v>25700</v>
      </c>
      <c r="E33" s="13">
        <v>674</v>
      </c>
      <c r="F33" s="165">
        <v>6</v>
      </c>
      <c r="G33" s="32"/>
      <c r="H33" s="13"/>
      <c r="I33" s="32"/>
      <c r="J33" s="165"/>
      <c r="K33" s="13"/>
      <c r="L33" s="165"/>
      <c r="M33" s="165"/>
      <c r="N33" s="13"/>
      <c r="O33" s="165"/>
    </row>
    <row r="34" spans="1:15" x14ac:dyDescent="0.25">
      <c r="A34" s="1" t="s">
        <v>3</v>
      </c>
      <c r="B34" s="20">
        <v>0</v>
      </c>
      <c r="D34" s="301">
        <v>33100</v>
      </c>
      <c r="E34" s="13">
        <v>1118</v>
      </c>
      <c r="F34" s="165">
        <v>7</v>
      </c>
      <c r="G34" s="32"/>
      <c r="H34" s="13"/>
      <c r="I34" s="32"/>
      <c r="J34" s="165"/>
      <c r="K34" s="13"/>
      <c r="L34" s="165"/>
      <c r="M34" s="165"/>
      <c r="N34" s="13"/>
      <c r="O34" s="165"/>
    </row>
    <row r="35" spans="1:15" x14ac:dyDescent="0.25">
      <c r="A35" s="1" t="s">
        <v>17</v>
      </c>
      <c r="B35" s="20">
        <v>0</v>
      </c>
      <c r="D35" s="301">
        <v>41700</v>
      </c>
      <c r="E35" s="13">
        <v>1720</v>
      </c>
      <c r="F35" s="165">
        <v>8</v>
      </c>
      <c r="G35" s="32"/>
      <c r="H35" s="13"/>
      <c r="I35" s="32"/>
      <c r="J35" s="165"/>
      <c r="K35" s="13"/>
      <c r="L35" s="165"/>
      <c r="M35" s="165"/>
      <c r="N35" s="13"/>
      <c r="O35" s="165"/>
    </row>
    <row r="36" spans="1:15" x14ac:dyDescent="0.25">
      <c r="A36" s="59" t="s">
        <v>21</v>
      </c>
      <c r="B36" s="292">
        <v>54795.682725533959</v>
      </c>
      <c r="D36" s="301">
        <v>51300</v>
      </c>
      <c r="E36" s="13">
        <v>2488</v>
      </c>
      <c r="F36" s="165">
        <v>8.5</v>
      </c>
      <c r="G36" s="32"/>
      <c r="H36" s="13"/>
      <c r="I36" s="32"/>
      <c r="J36" s="165"/>
      <c r="K36" s="13"/>
      <c r="L36" s="165"/>
      <c r="M36" s="165"/>
      <c r="N36" s="13"/>
      <c r="O36" s="165"/>
    </row>
    <row r="37" spans="1:15" x14ac:dyDescent="0.25">
      <c r="A37" s="85" t="s">
        <v>155</v>
      </c>
      <c r="B37" s="293">
        <v>0</v>
      </c>
      <c r="D37" s="301">
        <v>63100</v>
      </c>
      <c r="E37" s="13">
        <v>3491</v>
      </c>
      <c r="F37" s="165">
        <v>9</v>
      </c>
      <c r="G37" s="32"/>
      <c r="H37" s="13"/>
      <c r="I37" s="32"/>
      <c r="J37" s="13"/>
      <c r="K37" s="13"/>
    </row>
    <row r="38" spans="1:15" x14ac:dyDescent="0.25">
      <c r="D38" s="301">
        <v>74800</v>
      </c>
      <c r="E38" s="13">
        <v>4544</v>
      </c>
      <c r="F38" s="165">
        <v>9.5</v>
      </c>
      <c r="G38" s="32"/>
      <c r="H38" s="13"/>
      <c r="I38" s="32"/>
    </row>
    <row r="39" spans="1:15" x14ac:dyDescent="0.25">
      <c r="A39" s="19" t="s">
        <v>186</v>
      </c>
      <c r="B39" s="20"/>
      <c r="D39" s="301">
        <v>110100</v>
      </c>
      <c r="E39" s="13">
        <v>7897.5</v>
      </c>
      <c r="F39" s="165">
        <v>10</v>
      </c>
      <c r="G39" s="32"/>
      <c r="H39" s="13"/>
      <c r="I39" s="32"/>
    </row>
    <row r="40" spans="1:15" x14ac:dyDescent="0.25">
      <c r="A40" s="2" t="s">
        <v>12</v>
      </c>
      <c r="B40" s="76">
        <v>42200</v>
      </c>
      <c r="D40" s="301">
        <v>176400</v>
      </c>
      <c r="E40" s="13">
        <v>14527.5</v>
      </c>
      <c r="F40" s="165">
        <v>10.5</v>
      </c>
      <c r="G40" s="32"/>
      <c r="H40" s="13"/>
      <c r="I40" s="32"/>
    </row>
    <row r="41" spans="1:15" x14ac:dyDescent="0.25">
      <c r="A41" s="312" t="s">
        <v>170</v>
      </c>
      <c r="B41" s="306">
        <v>21100</v>
      </c>
      <c r="D41" s="301">
        <v>352700</v>
      </c>
      <c r="E41" s="13">
        <v>33039</v>
      </c>
      <c r="F41" s="165">
        <v>11</v>
      </c>
      <c r="G41" s="32"/>
      <c r="H41" s="13"/>
      <c r="I41" s="32"/>
    </row>
    <row r="42" spans="1:15" x14ac:dyDescent="0.25">
      <c r="A42" s="1" t="s">
        <v>13</v>
      </c>
      <c r="B42" s="20"/>
      <c r="D42" s="3"/>
      <c r="E42"/>
      <c r="F42"/>
      <c r="G42" s="32"/>
      <c r="H42" s="13"/>
      <c r="I42" s="32"/>
    </row>
    <row r="43" spans="1:15" x14ac:dyDescent="0.25">
      <c r="A43" s="1" t="s">
        <v>3</v>
      </c>
      <c r="B43" s="20">
        <v>1760</v>
      </c>
      <c r="D43" s="254" t="s">
        <v>156</v>
      </c>
      <c r="E43"/>
      <c r="H43" s="13"/>
      <c r="I43" s="32"/>
    </row>
    <row r="44" spans="1:15" x14ac:dyDescent="0.25">
      <c r="A44" s="1" t="s">
        <v>17</v>
      </c>
      <c r="B44" s="20">
        <v>888</v>
      </c>
      <c r="D44" s="13">
        <v>0</v>
      </c>
      <c r="E44" s="13">
        <v>12000</v>
      </c>
      <c r="H44" s="13"/>
    </row>
    <row r="45" spans="1:15" x14ac:dyDescent="0.25">
      <c r="A45" s="2" t="s">
        <v>9</v>
      </c>
      <c r="B45" s="76">
        <v>0</v>
      </c>
      <c r="D45" s="13">
        <v>15000</v>
      </c>
      <c r="E45" s="13">
        <v>7500</v>
      </c>
      <c r="H45" s="13"/>
    </row>
    <row r="46" spans="1:15" x14ac:dyDescent="0.25">
      <c r="A46" s="1" t="s">
        <v>13</v>
      </c>
      <c r="D46" s="13">
        <v>20000</v>
      </c>
      <c r="E46" s="13">
        <v>3000</v>
      </c>
      <c r="H46" s="13"/>
    </row>
    <row r="47" spans="1:15" x14ac:dyDescent="0.25">
      <c r="A47" s="1" t="s">
        <v>3</v>
      </c>
      <c r="B47" s="20">
        <v>0</v>
      </c>
      <c r="D47" s="13">
        <v>25000</v>
      </c>
      <c r="E47" s="13">
        <v>2000</v>
      </c>
      <c r="H47" s="13"/>
    </row>
    <row r="48" spans="1:15" x14ac:dyDescent="0.25">
      <c r="A48" s="1" t="s">
        <v>17</v>
      </c>
      <c r="B48" s="20">
        <v>0</v>
      </c>
      <c r="D48" s="13">
        <v>30000</v>
      </c>
      <c r="E48" s="13">
        <v>1000</v>
      </c>
      <c r="H48" s="13"/>
    </row>
    <row r="49" spans="1:15" x14ac:dyDescent="0.25">
      <c r="A49" s="59" t="s">
        <v>21</v>
      </c>
      <c r="B49" s="292">
        <v>42277.585901480124</v>
      </c>
      <c r="D49" s="13">
        <v>35000</v>
      </c>
      <c r="E49" s="13">
        <v>0</v>
      </c>
      <c r="H49" s="13"/>
    </row>
    <row r="50" spans="1:15" x14ac:dyDescent="0.25">
      <c r="A50" s="85" t="s">
        <v>155</v>
      </c>
      <c r="B50" s="293">
        <v>0</v>
      </c>
      <c r="H50" s="13"/>
    </row>
    <row r="51" spans="1:15" x14ac:dyDescent="0.25">
      <c r="A51" s="1"/>
      <c r="B51" s="20"/>
      <c r="H51" s="13"/>
    </row>
    <row r="52" spans="1:15" x14ac:dyDescent="0.25">
      <c r="A52" s="1"/>
      <c r="B52" s="20"/>
      <c r="H52" s="13"/>
    </row>
    <row r="53" spans="1:15" ht="15.6" x14ac:dyDescent="0.3">
      <c r="A53" s="14" t="s">
        <v>70</v>
      </c>
    </row>
    <row r="54" spans="1:15" x14ac:dyDescent="0.25">
      <c r="A54" s="302" t="s">
        <v>168</v>
      </c>
      <c r="D54" s="3" t="s">
        <v>4</v>
      </c>
      <c r="E54" s="15"/>
      <c r="F54" s="18"/>
      <c r="G54" s="18"/>
      <c r="H54" s="18"/>
      <c r="I54" s="18"/>
      <c r="J54" s="254" t="s">
        <v>160</v>
      </c>
    </row>
    <row r="55" spans="1:15" x14ac:dyDescent="0.25">
      <c r="D55" s="30" t="s">
        <v>10</v>
      </c>
      <c r="E55" s="22"/>
      <c r="F55" s="31" t="s">
        <v>11</v>
      </c>
      <c r="G55" s="30" t="s">
        <v>10</v>
      </c>
      <c r="H55" s="22"/>
      <c r="I55" s="31" t="s">
        <v>11</v>
      </c>
      <c r="J55" s="30" t="s">
        <v>10</v>
      </c>
      <c r="K55" s="22"/>
      <c r="L55" s="31" t="s">
        <v>11</v>
      </c>
      <c r="M55" s="30" t="s">
        <v>10</v>
      </c>
      <c r="N55" s="22"/>
      <c r="O55" s="31" t="s">
        <v>11</v>
      </c>
    </row>
    <row r="56" spans="1:15" x14ac:dyDescent="0.25">
      <c r="A56" s="19" t="s">
        <v>187</v>
      </c>
      <c r="D56" s="33" t="s">
        <v>14</v>
      </c>
      <c r="E56" s="31"/>
      <c r="F56" s="31"/>
      <c r="G56" s="34" t="s">
        <v>15</v>
      </c>
      <c r="H56" s="32"/>
      <c r="I56" s="30"/>
      <c r="J56" s="33" t="s">
        <v>14</v>
      </c>
      <c r="K56" s="31"/>
      <c r="L56" s="31"/>
      <c r="M56" s="34" t="s">
        <v>15</v>
      </c>
      <c r="N56" s="32"/>
      <c r="O56" s="30"/>
    </row>
    <row r="57" spans="1:15" x14ac:dyDescent="0.25">
      <c r="A57" s="2" t="s">
        <v>12</v>
      </c>
      <c r="B57" s="76">
        <v>54700</v>
      </c>
      <c r="D57" s="300">
        <v>0</v>
      </c>
      <c r="E57" s="13">
        <v>0</v>
      </c>
      <c r="F57" s="32">
        <v>1.95</v>
      </c>
      <c r="G57" s="304">
        <v>0</v>
      </c>
      <c r="H57" s="13">
        <v>0</v>
      </c>
      <c r="I57" s="32">
        <v>1.55</v>
      </c>
      <c r="J57" s="32">
        <v>0</v>
      </c>
      <c r="K57" s="13">
        <v>0</v>
      </c>
      <c r="L57" s="32">
        <v>0</v>
      </c>
      <c r="M57" s="32">
        <v>0</v>
      </c>
      <c r="N57" s="13">
        <v>0</v>
      </c>
      <c r="O57" s="32">
        <v>0</v>
      </c>
    </row>
    <row r="58" spans="1:15" x14ac:dyDescent="0.25">
      <c r="A58" s="1" t="s">
        <v>13</v>
      </c>
      <c r="B58" s="20"/>
      <c r="D58" s="304">
        <v>3300</v>
      </c>
      <c r="E58" s="13">
        <v>64.349999999999994</v>
      </c>
      <c r="F58" s="32">
        <v>2.9</v>
      </c>
      <c r="G58" s="304">
        <v>3300</v>
      </c>
      <c r="H58" s="13">
        <v>51.15</v>
      </c>
      <c r="I58" s="32">
        <v>1.65</v>
      </c>
      <c r="J58" s="32">
        <v>100000</v>
      </c>
      <c r="K58" s="13">
        <v>32.5</v>
      </c>
      <c r="L58" s="32">
        <v>0.7</v>
      </c>
      <c r="M58" s="32">
        <v>100000</v>
      </c>
      <c r="N58" s="13">
        <v>32.5</v>
      </c>
      <c r="O58" s="32">
        <v>0.7</v>
      </c>
    </row>
    <row r="59" spans="1:15" x14ac:dyDescent="0.25">
      <c r="A59" s="1" t="s">
        <v>3</v>
      </c>
      <c r="B59" s="20">
        <v>2169.1999999999998</v>
      </c>
      <c r="D59" s="304">
        <v>6600</v>
      </c>
      <c r="E59" s="13">
        <v>160.05000000000001</v>
      </c>
      <c r="F59" s="32">
        <v>3.6</v>
      </c>
      <c r="G59" s="304">
        <v>6600</v>
      </c>
      <c r="H59" s="13">
        <v>105.6</v>
      </c>
      <c r="I59" s="32">
        <v>2.85</v>
      </c>
      <c r="J59" s="32">
        <v>216000</v>
      </c>
      <c r="K59" s="13">
        <v>113.7</v>
      </c>
      <c r="L59" s="32">
        <v>0.8</v>
      </c>
      <c r="M59" s="32">
        <v>216000</v>
      </c>
      <c r="N59" s="13">
        <v>113.7</v>
      </c>
      <c r="O59" s="32">
        <v>0.8</v>
      </c>
    </row>
    <row r="60" spans="1:15" x14ac:dyDescent="0.25">
      <c r="A60" s="1" t="s">
        <v>17</v>
      </c>
      <c r="B60" s="20">
        <v>1816.3</v>
      </c>
      <c r="D60" s="304">
        <v>16400</v>
      </c>
      <c r="E60" s="13">
        <v>512.85</v>
      </c>
      <c r="F60" s="32">
        <v>4.1500000000000004</v>
      </c>
      <c r="G60" s="304">
        <v>16400</v>
      </c>
      <c r="H60" s="13">
        <v>384.9</v>
      </c>
      <c r="I60" s="32">
        <v>3.65</v>
      </c>
      <c r="J60" s="32">
        <v>437000</v>
      </c>
      <c r="K60" s="13">
        <v>290.5</v>
      </c>
      <c r="L60" s="32">
        <v>1</v>
      </c>
      <c r="M60" s="32">
        <v>437000</v>
      </c>
      <c r="N60" s="13">
        <v>290.5</v>
      </c>
      <c r="O60" s="32">
        <v>1</v>
      </c>
    </row>
    <row r="61" spans="1:15" x14ac:dyDescent="0.25">
      <c r="A61" s="2" t="s">
        <v>9</v>
      </c>
      <c r="B61" s="76">
        <v>0</v>
      </c>
      <c r="D61" s="304">
        <v>32400</v>
      </c>
      <c r="E61" s="13">
        <v>1176.8499999999999</v>
      </c>
      <c r="F61" s="32">
        <v>4.45</v>
      </c>
      <c r="G61" s="304">
        <v>32400</v>
      </c>
      <c r="H61" s="13">
        <v>968.9</v>
      </c>
      <c r="I61" s="32">
        <v>3.8</v>
      </c>
      <c r="J61" s="32">
        <v>808000</v>
      </c>
      <c r="K61" s="13">
        <v>661.5</v>
      </c>
      <c r="L61" s="32">
        <v>1.2</v>
      </c>
      <c r="M61" s="32">
        <v>808000</v>
      </c>
      <c r="N61" s="13">
        <v>661.5</v>
      </c>
      <c r="O61" s="32">
        <v>1.2</v>
      </c>
    </row>
    <row r="62" spans="1:15" x14ac:dyDescent="0.25">
      <c r="A62" s="1" t="s">
        <v>13</v>
      </c>
      <c r="D62" s="304">
        <v>59100</v>
      </c>
      <c r="E62" s="13">
        <v>2365</v>
      </c>
      <c r="F62" s="32">
        <v>5</v>
      </c>
      <c r="G62" s="304">
        <v>59100</v>
      </c>
      <c r="H62" s="13">
        <v>1983.5</v>
      </c>
      <c r="I62" s="32">
        <v>4.3</v>
      </c>
      <c r="J62" s="32">
        <v>1359000</v>
      </c>
      <c r="K62" s="13">
        <v>1322.7</v>
      </c>
      <c r="L62" s="32">
        <v>1.3</v>
      </c>
      <c r="M62" s="32">
        <v>1359000</v>
      </c>
      <c r="N62" s="13">
        <v>1322.7</v>
      </c>
      <c r="O62" s="32">
        <v>1.3</v>
      </c>
    </row>
    <row r="63" spans="1:15" x14ac:dyDescent="0.25">
      <c r="A63" s="1" t="s">
        <v>3</v>
      </c>
      <c r="B63" s="20">
        <v>0</v>
      </c>
      <c r="D63" s="304">
        <v>85800</v>
      </c>
      <c r="E63" s="13">
        <v>3700</v>
      </c>
      <c r="F63" s="32">
        <v>5.6</v>
      </c>
      <c r="G63" s="304">
        <v>85800</v>
      </c>
      <c r="H63" s="13">
        <v>3131.6</v>
      </c>
      <c r="I63" s="32">
        <v>4.8499999999999996</v>
      </c>
      <c r="J63" s="13">
        <v>3728000</v>
      </c>
      <c r="K63" s="13">
        <v>4402.3999999999996</v>
      </c>
      <c r="L63" s="32">
        <v>1.35</v>
      </c>
      <c r="M63" s="32">
        <v>3728000</v>
      </c>
      <c r="N63" s="13">
        <v>4402.3999999999996</v>
      </c>
      <c r="O63" s="32">
        <v>1.35</v>
      </c>
    </row>
    <row r="64" spans="1:15" x14ac:dyDescent="0.25">
      <c r="A64" s="1" t="s">
        <v>17</v>
      </c>
      <c r="B64" s="20">
        <v>0</v>
      </c>
      <c r="D64" s="304">
        <v>112500</v>
      </c>
      <c r="E64" s="13">
        <v>5195.2</v>
      </c>
      <c r="F64" s="32">
        <v>5.75</v>
      </c>
      <c r="G64" s="304">
        <v>112500</v>
      </c>
      <c r="H64" s="13">
        <v>4426.5499999999993</v>
      </c>
      <c r="I64" s="32">
        <v>5.2</v>
      </c>
      <c r="J64" s="13">
        <v>6303000</v>
      </c>
      <c r="K64" s="13">
        <v>7878.65</v>
      </c>
      <c r="L64" s="32">
        <v>1.25</v>
      </c>
      <c r="M64" s="32">
        <v>6303000</v>
      </c>
      <c r="N64" s="13">
        <v>7878.65</v>
      </c>
      <c r="O64" s="32">
        <v>1.25</v>
      </c>
    </row>
    <row r="65" spans="1:9" x14ac:dyDescent="0.25">
      <c r="A65" s="2" t="s">
        <v>21</v>
      </c>
      <c r="B65" s="98">
        <v>54795.682725533959</v>
      </c>
      <c r="D65" s="304">
        <v>139200</v>
      </c>
      <c r="E65" s="13">
        <v>6730.45</v>
      </c>
      <c r="F65" s="32">
        <v>5.9</v>
      </c>
      <c r="G65" s="304">
        <v>139200</v>
      </c>
      <c r="H65" s="13">
        <v>5814.9499999999989</v>
      </c>
      <c r="I65" s="32">
        <v>5.7</v>
      </c>
    </row>
    <row r="66" spans="1:9" x14ac:dyDescent="0.25">
      <c r="A66" s="1" t="s">
        <v>22</v>
      </c>
      <c r="B66" s="20">
        <v>0</v>
      </c>
      <c r="D66" s="304">
        <v>165900</v>
      </c>
      <c r="E66" s="13">
        <v>8305.75</v>
      </c>
      <c r="F66" s="32">
        <v>6.05</v>
      </c>
      <c r="G66" s="304">
        <v>180600</v>
      </c>
      <c r="H66" s="13">
        <v>8174.7499999999991</v>
      </c>
      <c r="I66" s="32">
        <v>5.85</v>
      </c>
    </row>
    <row r="67" spans="1:9" x14ac:dyDescent="0.25">
      <c r="A67" s="1" t="s">
        <v>23</v>
      </c>
      <c r="B67" s="20">
        <v>0</v>
      </c>
      <c r="D67" s="304">
        <v>192600</v>
      </c>
      <c r="E67" s="13">
        <v>9921.1</v>
      </c>
      <c r="F67" s="32">
        <v>6.15</v>
      </c>
      <c r="G67" s="304">
        <v>234600</v>
      </c>
      <c r="H67" s="13">
        <v>11333.75</v>
      </c>
      <c r="I67" s="32">
        <v>5.95</v>
      </c>
    </row>
    <row r="68" spans="1:9" x14ac:dyDescent="0.25">
      <c r="D68" s="304">
        <v>230000</v>
      </c>
      <c r="E68" s="13">
        <v>12221.2</v>
      </c>
      <c r="F68" s="32">
        <v>6.3</v>
      </c>
      <c r="G68" s="304">
        <v>288600</v>
      </c>
      <c r="H68" s="13">
        <v>14546.75</v>
      </c>
      <c r="I68" s="32">
        <v>6.2</v>
      </c>
    </row>
    <row r="69" spans="1:9" x14ac:dyDescent="0.25">
      <c r="A69" s="19" t="s">
        <v>186</v>
      </c>
      <c r="B69" s="20"/>
      <c r="D69" s="304">
        <v>316400</v>
      </c>
      <c r="E69" s="13">
        <v>17664.400000000001</v>
      </c>
      <c r="F69" s="32">
        <v>6.4</v>
      </c>
      <c r="G69" s="304">
        <v>342600</v>
      </c>
      <c r="H69" s="13">
        <v>17894.75</v>
      </c>
      <c r="I69" s="32">
        <v>6.4</v>
      </c>
    </row>
    <row r="70" spans="1:9" x14ac:dyDescent="0.25">
      <c r="A70" s="2" t="s">
        <v>12</v>
      </c>
      <c r="B70" s="76">
        <v>42200</v>
      </c>
      <c r="D70" s="304">
        <v>467600</v>
      </c>
      <c r="E70" s="13">
        <v>27341.200000000001</v>
      </c>
      <c r="F70" s="32">
        <v>6.5</v>
      </c>
      <c r="G70" s="304">
        <v>483000</v>
      </c>
      <c r="H70" s="13">
        <v>26880.35</v>
      </c>
      <c r="I70" s="32">
        <v>6.5</v>
      </c>
    </row>
    <row r="71" spans="1:9" x14ac:dyDescent="0.25">
      <c r="A71" s="1" t="s">
        <v>13</v>
      </c>
      <c r="B71" s="20"/>
      <c r="D71"/>
      <c r="E71"/>
      <c r="F71"/>
      <c r="G71" s="32"/>
      <c r="H71" s="13"/>
      <c r="I71" s="32"/>
    </row>
    <row r="72" spans="1:9" x14ac:dyDescent="0.25">
      <c r="A72" s="1" t="s">
        <v>3</v>
      </c>
      <c r="B72" s="20">
        <v>1612.9499999999998</v>
      </c>
      <c r="D72" s="254" t="s">
        <v>157</v>
      </c>
      <c r="E72"/>
      <c r="F72"/>
      <c r="G72" s="32"/>
      <c r="H72" s="13"/>
      <c r="I72" s="32"/>
    </row>
    <row r="73" spans="1:9" x14ac:dyDescent="0.25">
      <c r="A73" s="1" t="s">
        <v>17</v>
      </c>
      <c r="B73" s="20">
        <v>1341.3</v>
      </c>
      <c r="D73" s="13">
        <v>0</v>
      </c>
      <c r="E73" s="13">
        <v>1100</v>
      </c>
      <c r="G73" s="13">
        <v>0</v>
      </c>
      <c r="H73" s="13">
        <v>2200</v>
      </c>
      <c r="I73" s="32"/>
    </row>
    <row r="74" spans="1:9" x14ac:dyDescent="0.25">
      <c r="A74" s="2" t="s">
        <v>9</v>
      </c>
      <c r="B74" s="76">
        <v>0</v>
      </c>
      <c r="D74" s="13">
        <v>16700</v>
      </c>
      <c r="E74" s="13">
        <v>950</v>
      </c>
      <c r="G74" s="13">
        <v>22300</v>
      </c>
      <c r="H74" s="13">
        <v>1900</v>
      </c>
    </row>
    <row r="75" spans="1:9" x14ac:dyDescent="0.25">
      <c r="A75" s="1" t="s">
        <v>13</v>
      </c>
      <c r="D75" s="13">
        <v>18700</v>
      </c>
      <c r="E75" s="13">
        <v>800</v>
      </c>
      <c r="F75" s="22"/>
      <c r="G75" s="13">
        <v>24300</v>
      </c>
      <c r="H75" s="13">
        <v>1600</v>
      </c>
    </row>
    <row r="76" spans="1:9" x14ac:dyDescent="0.25">
      <c r="A76" s="1" t="s">
        <v>3</v>
      </c>
      <c r="B76" s="20">
        <v>0</v>
      </c>
      <c r="D76" s="13">
        <v>20700</v>
      </c>
      <c r="E76" s="13">
        <v>650</v>
      </c>
      <c r="G76" s="13">
        <v>26300</v>
      </c>
      <c r="H76" s="13">
        <v>1300</v>
      </c>
      <c r="I76" s="22"/>
    </row>
    <row r="77" spans="1:9" x14ac:dyDescent="0.25">
      <c r="A77" s="1" t="s">
        <v>17</v>
      </c>
      <c r="B77" s="20">
        <v>0</v>
      </c>
      <c r="D77" s="13">
        <v>22700</v>
      </c>
      <c r="E77" s="13">
        <v>500</v>
      </c>
      <c r="G77" s="13">
        <v>28300</v>
      </c>
      <c r="H77" s="13">
        <v>1000</v>
      </c>
      <c r="I77" s="15"/>
    </row>
    <row r="78" spans="1:9" x14ac:dyDescent="0.25">
      <c r="A78" s="2" t="s">
        <v>108</v>
      </c>
      <c r="B78" s="98">
        <v>42277.585901480124</v>
      </c>
      <c r="D78" s="13">
        <v>24700</v>
      </c>
      <c r="E78" s="13">
        <v>350</v>
      </c>
      <c r="G78" s="13">
        <v>30300</v>
      </c>
      <c r="H78" s="13">
        <v>700</v>
      </c>
      <c r="I78" s="15"/>
    </row>
    <row r="79" spans="1:9" x14ac:dyDescent="0.25">
      <c r="A79" s="85" t="s">
        <v>109</v>
      </c>
      <c r="B79" s="20">
        <v>0</v>
      </c>
      <c r="D79" s="13">
        <v>26700</v>
      </c>
      <c r="E79" s="13">
        <v>200</v>
      </c>
      <c r="G79" s="13">
        <v>32300</v>
      </c>
      <c r="H79" s="13">
        <v>400</v>
      </c>
      <c r="I79" s="15"/>
    </row>
    <row r="80" spans="1:9" x14ac:dyDescent="0.25">
      <c r="A80" s="85" t="s">
        <v>110</v>
      </c>
      <c r="B80" s="20">
        <v>0</v>
      </c>
      <c r="D80" s="13">
        <v>28700</v>
      </c>
      <c r="E80" s="13">
        <v>0</v>
      </c>
      <c r="G80" s="13">
        <v>34300</v>
      </c>
      <c r="H80" s="15">
        <v>0</v>
      </c>
      <c r="I80" s="15"/>
    </row>
    <row r="81" spans="1:17" x14ac:dyDescent="0.25">
      <c r="A81" s="1"/>
      <c r="B81" s="20"/>
      <c r="H81" s="15"/>
      <c r="I81" s="15"/>
    </row>
    <row r="82" spans="1:17" x14ac:dyDescent="0.25">
      <c r="I82" s="15"/>
    </row>
    <row r="83" spans="1:17" ht="15.6" x14ac:dyDescent="0.3">
      <c r="A83" s="14" t="s">
        <v>73</v>
      </c>
      <c r="D83" s="3" t="s">
        <v>4</v>
      </c>
      <c r="J83" s="3" t="s">
        <v>8</v>
      </c>
    </row>
    <row r="84" spans="1:17" x14ac:dyDescent="0.25">
      <c r="A84" s="302" t="s">
        <v>168</v>
      </c>
      <c r="D84" s="158" t="s">
        <v>14</v>
      </c>
      <c r="E84" s="15"/>
      <c r="F84" s="18"/>
      <c r="G84" s="18"/>
      <c r="H84" s="34" t="s">
        <v>15</v>
      </c>
      <c r="I84" s="18"/>
    </row>
    <row r="85" spans="1:17" x14ac:dyDescent="0.25">
      <c r="B85" s="74"/>
      <c r="D85" s="159" t="s">
        <v>98</v>
      </c>
      <c r="E85" s="311">
        <v>1.159</v>
      </c>
      <c r="F85" s="165"/>
      <c r="H85" s="159" t="s">
        <v>93</v>
      </c>
      <c r="I85" s="136">
        <v>2</v>
      </c>
      <c r="J85" s="15"/>
      <c r="K85" s="136"/>
      <c r="P85" s="22"/>
      <c r="Q85" s="31"/>
    </row>
    <row r="86" spans="1:17" x14ac:dyDescent="0.25">
      <c r="A86" s="19" t="s">
        <v>187</v>
      </c>
      <c r="D86" s="159" t="s">
        <v>10</v>
      </c>
      <c r="E86" s="159" t="s">
        <v>99</v>
      </c>
      <c r="F86" s="159" t="s">
        <v>100</v>
      </c>
      <c r="G86" s="159" t="s">
        <v>101</v>
      </c>
      <c r="H86" s="31"/>
      <c r="I86" s="31"/>
      <c r="J86" s="31" t="s">
        <v>10</v>
      </c>
      <c r="K86" s="31" t="s">
        <v>75</v>
      </c>
      <c r="L86" s="31" t="s">
        <v>74</v>
      </c>
      <c r="M86" s="31"/>
      <c r="P86" s="32"/>
      <c r="Q86" s="30"/>
    </row>
    <row r="87" spans="1:17" x14ac:dyDescent="0.25">
      <c r="A87" s="2" t="s">
        <v>12</v>
      </c>
      <c r="B87" s="76">
        <v>54700</v>
      </c>
      <c r="D87" s="101">
        <v>0</v>
      </c>
      <c r="E87" s="13">
        <v>0</v>
      </c>
      <c r="F87" s="160">
        <v>0</v>
      </c>
      <c r="G87" s="13">
        <v>0</v>
      </c>
      <c r="H87" s="32"/>
      <c r="I87" s="13"/>
      <c r="J87" s="165">
        <v>0</v>
      </c>
      <c r="K87" s="13">
        <v>0</v>
      </c>
      <c r="L87" s="32">
        <v>0</v>
      </c>
      <c r="M87" s="32"/>
      <c r="P87" s="13"/>
      <c r="Q87" s="32"/>
    </row>
    <row r="88" spans="1:17" x14ac:dyDescent="0.25">
      <c r="A88" s="85" t="s">
        <v>92</v>
      </c>
      <c r="B88" s="132">
        <v>27350</v>
      </c>
      <c r="D88" s="161">
        <v>16716</v>
      </c>
      <c r="E88" s="312">
        <v>-0.82742899999999997</v>
      </c>
      <c r="F88" s="312">
        <v>8.9718000000000006E-2</v>
      </c>
      <c r="G88" s="350">
        <v>829.41876999999999</v>
      </c>
      <c r="H88" s="137"/>
      <c r="I88" s="13"/>
      <c r="J88" s="165">
        <v>10000</v>
      </c>
      <c r="K88" s="13">
        <v>11</v>
      </c>
      <c r="L88" s="32">
        <v>1.1000000000000001</v>
      </c>
      <c r="M88" s="139"/>
      <c r="P88" s="13"/>
      <c r="Q88" s="32"/>
    </row>
    <row r="89" spans="1:17" x14ac:dyDescent="0.25">
      <c r="A89" s="1" t="s">
        <v>13</v>
      </c>
      <c r="B89" s="20"/>
      <c r="D89" s="161">
        <v>44577</v>
      </c>
      <c r="E89" s="312">
        <v>-0.32848100000000002</v>
      </c>
      <c r="F89" s="312">
        <v>4.3109000000000001E-2</v>
      </c>
      <c r="G89" s="350">
        <v>-1248.2661210000001</v>
      </c>
      <c r="H89" s="137"/>
      <c r="I89" s="13"/>
      <c r="J89" s="165">
        <v>150000</v>
      </c>
      <c r="K89" s="13">
        <v>165</v>
      </c>
      <c r="L89" s="32">
        <v>2.9</v>
      </c>
      <c r="M89" s="139"/>
      <c r="P89" s="13"/>
      <c r="Q89" s="32"/>
    </row>
    <row r="90" spans="1:17" x14ac:dyDescent="0.25">
      <c r="A90" s="1" t="s">
        <v>3</v>
      </c>
      <c r="B90" s="20">
        <v>4151.3221229339288</v>
      </c>
      <c r="D90" s="161">
        <v>111442</v>
      </c>
      <c r="E90" s="312">
        <v>5.1161999999999999E-2</v>
      </c>
      <c r="F90" s="312">
        <v>1.0441000000000001E-2</v>
      </c>
      <c r="G90" s="350">
        <v>-4888.8191479999996</v>
      </c>
      <c r="H90" s="137"/>
      <c r="I90" s="13"/>
      <c r="J90" s="165">
        <v>350000</v>
      </c>
      <c r="K90" s="13">
        <v>745</v>
      </c>
      <c r="L90" s="32">
        <v>3.3</v>
      </c>
      <c r="M90" s="139"/>
      <c r="P90" s="13"/>
      <c r="Q90" s="32"/>
    </row>
    <row r="91" spans="1:17" x14ac:dyDescent="0.25">
      <c r="A91" s="1" t="s">
        <v>17</v>
      </c>
      <c r="B91" s="20">
        <v>1628.9941858213565</v>
      </c>
      <c r="D91" s="161">
        <v>1281587</v>
      </c>
      <c r="E91">
        <v>0.1862</v>
      </c>
      <c r="F91" s="162"/>
      <c r="G91" s="163">
        <v>235484.44985576923</v>
      </c>
      <c r="H91" s="137"/>
      <c r="I91" s="13"/>
      <c r="J91" s="32"/>
      <c r="K91" s="13"/>
      <c r="L91" s="140"/>
      <c r="M91" s="139"/>
      <c r="P91" s="13"/>
      <c r="Q91" s="32"/>
    </row>
    <row r="92" spans="1:17" x14ac:dyDescent="0.25">
      <c r="A92" s="2" t="s">
        <v>9</v>
      </c>
      <c r="B92" s="76">
        <v>0</v>
      </c>
      <c r="D92" s="137"/>
      <c r="F92" s="140"/>
      <c r="G92" s="141"/>
      <c r="H92" s="137"/>
      <c r="I92" s="13"/>
      <c r="J92" s="140"/>
      <c r="K92" s="1"/>
      <c r="L92" s="32"/>
      <c r="M92" s="13"/>
      <c r="N92" s="32"/>
      <c r="O92" s="32"/>
      <c r="P92" s="13"/>
      <c r="Q92" s="32"/>
    </row>
    <row r="93" spans="1:17" x14ac:dyDescent="0.25">
      <c r="A93" s="1" t="s">
        <v>13</v>
      </c>
      <c r="D93" s="342"/>
      <c r="F93" s="140"/>
      <c r="G93" s="141"/>
      <c r="H93" s="137"/>
      <c r="I93" s="13"/>
      <c r="J93" s="140"/>
      <c r="K93" s="1"/>
      <c r="L93" s="13"/>
      <c r="M93" s="13"/>
      <c r="N93" s="32"/>
      <c r="O93" s="13"/>
      <c r="P93" s="13"/>
      <c r="Q93" s="32"/>
    </row>
    <row r="94" spans="1:17" x14ac:dyDescent="0.25">
      <c r="A94" s="1" t="s">
        <v>3</v>
      </c>
      <c r="B94" s="313">
        <v>0</v>
      </c>
      <c r="D94" s="344" t="s">
        <v>179</v>
      </c>
      <c r="E94" s="345" t="s">
        <v>166</v>
      </c>
      <c r="F94" s="346" t="s">
        <v>165</v>
      </c>
      <c r="G94" s="141"/>
      <c r="H94" s="137"/>
      <c r="I94" s="13"/>
      <c r="J94" s="140"/>
      <c r="K94" s="1"/>
    </row>
    <row r="95" spans="1:17" x14ac:dyDescent="0.25">
      <c r="A95" s="1" t="s">
        <v>17</v>
      </c>
      <c r="B95" s="313">
        <v>0</v>
      </c>
      <c r="D95" s="347" t="s">
        <v>4</v>
      </c>
      <c r="E95" s="307">
        <v>98432.414098519876</v>
      </c>
      <c r="F95" s="348">
        <v>130000</v>
      </c>
      <c r="G95" s="141"/>
      <c r="H95" s="137"/>
      <c r="I95" s="13"/>
      <c r="J95" s="140"/>
      <c r="K95" s="1"/>
    </row>
    <row r="96" spans="1:17" x14ac:dyDescent="0.25">
      <c r="A96" s="2"/>
      <c r="B96" s="20"/>
      <c r="D96" s="347" t="s">
        <v>180</v>
      </c>
      <c r="E96" s="307">
        <v>30240</v>
      </c>
      <c r="F96" s="348">
        <v>30240</v>
      </c>
      <c r="G96" s="1"/>
      <c r="H96" s="137"/>
      <c r="I96" s="13"/>
      <c r="J96" s="140"/>
      <c r="K96" s="1"/>
    </row>
    <row r="97" spans="1:15" x14ac:dyDescent="0.25">
      <c r="A97" s="19" t="s">
        <v>186</v>
      </c>
      <c r="B97" s="20"/>
      <c r="D97" s="301" t="s">
        <v>181</v>
      </c>
      <c r="E97" s="307">
        <v>68192.414098519876</v>
      </c>
      <c r="F97" s="307">
        <v>99760</v>
      </c>
      <c r="G97" s="1"/>
      <c r="H97" s="137"/>
      <c r="I97" s="13"/>
      <c r="J97" s="140"/>
      <c r="K97" s="1"/>
    </row>
    <row r="98" spans="1:15" x14ac:dyDescent="0.25">
      <c r="A98" s="2" t="s">
        <v>12</v>
      </c>
      <c r="B98" s="76">
        <v>42200</v>
      </c>
      <c r="D98" s="301" t="s">
        <v>183</v>
      </c>
      <c r="E98" s="307">
        <v>100</v>
      </c>
      <c r="F98" s="307">
        <v>100</v>
      </c>
      <c r="G98" s="138"/>
      <c r="H98" s="137"/>
      <c r="I98" s="13"/>
      <c r="J98" s="140"/>
      <c r="K98" s="1"/>
    </row>
    <row r="99" spans="1:15" x14ac:dyDescent="0.25">
      <c r="A99" s="85" t="s">
        <v>92</v>
      </c>
      <c r="B99" s="132">
        <v>21100</v>
      </c>
      <c r="D99" s="347" t="s">
        <v>42</v>
      </c>
      <c r="E99" s="349">
        <v>0</v>
      </c>
      <c r="F99" s="349">
        <v>0</v>
      </c>
      <c r="G99" s="140"/>
      <c r="H99" s="137"/>
      <c r="I99" s="13"/>
      <c r="J99" s="140"/>
      <c r="K99" s="1"/>
    </row>
    <row r="100" spans="1:15" x14ac:dyDescent="0.25">
      <c r="A100" s="1" t="s">
        <v>13</v>
      </c>
      <c r="B100" s="20"/>
      <c r="D100" s="347" t="s">
        <v>182</v>
      </c>
      <c r="E100" s="307">
        <v>0</v>
      </c>
      <c r="F100" s="307">
        <v>0</v>
      </c>
      <c r="G100" s="32"/>
      <c r="H100" s="32"/>
      <c r="I100" s="13"/>
      <c r="J100" s="140"/>
      <c r="K100" s="32"/>
    </row>
    <row r="101" spans="1:15" x14ac:dyDescent="0.25">
      <c r="A101" s="1" t="s">
        <v>3</v>
      </c>
      <c r="B101" s="20">
        <v>2448.4405705710633</v>
      </c>
      <c r="D101" s="136"/>
      <c r="F101" s="32"/>
      <c r="G101" s="32"/>
      <c r="H101" s="13"/>
      <c r="I101" s="32"/>
    </row>
    <row r="102" spans="1:15" x14ac:dyDescent="0.25">
      <c r="A102" s="1" t="s">
        <v>17</v>
      </c>
      <c r="B102" s="20">
        <v>653.53507751192183</v>
      </c>
      <c r="D102" s="218"/>
      <c r="E102"/>
      <c r="G102" s="32"/>
      <c r="H102" s="13"/>
      <c r="I102" s="32"/>
    </row>
    <row r="103" spans="1:15" x14ac:dyDescent="0.25">
      <c r="A103" s="2" t="s">
        <v>9</v>
      </c>
      <c r="B103" s="76">
        <v>0</v>
      </c>
      <c r="D103" s="343"/>
      <c r="E103"/>
      <c r="G103" s="32"/>
      <c r="H103" s="13"/>
      <c r="I103" s="32"/>
    </row>
    <row r="104" spans="1:15" x14ac:dyDescent="0.25">
      <c r="A104" s="1" t="s">
        <v>13</v>
      </c>
      <c r="D104" s="154"/>
      <c r="H104" s="13"/>
      <c r="I104" s="32"/>
    </row>
    <row r="105" spans="1:15" x14ac:dyDescent="0.25">
      <c r="A105" s="1" t="s">
        <v>3</v>
      </c>
      <c r="B105" s="313">
        <v>0</v>
      </c>
      <c r="D105" s="154"/>
      <c r="H105" s="13"/>
    </row>
    <row r="106" spans="1:15" x14ac:dyDescent="0.25">
      <c r="A106" s="1" t="s">
        <v>17</v>
      </c>
      <c r="B106" s="313">
        <v>0</v>
      </c>
      <c r="D106" s="154"/>
      <c r="H106" s="13"/>
    </row>
    <row r="107" spans="1:15" x14ac:dyDescent="0.25">
      <c r="H107" s="13"/>
    </row>
    <row r="108" spans="1:15" x14ac:dyDescent="0.25">
      <c r="H108" s="13"/>
    </row>
    <row r="109" spans="1:15" ht="15.6" x14ac:dyDescent="0.3">
      <c r="A109" s="14" t="s">
        <v>78</v>
      </c>
    </row>
    <row r="110" spans="1:15" x14ac:dyDescent="0.25">
      <c r="A110" s="302" t="s">
        <v>168</v>
      </c>
      <c r="D110" s="3" t="s">
        <v>4</v>
      </c>
      <c r="E110" s="15"/>
      <c r="F110" s="18"/>
      <c r="G110" s="18"/>
      <c r="H110" s="18"/>
      <c r="I110" s="18"/>
      <c r="J110" s="3" t="s">
        <v>8</v>
      </c>
    </row>
    <row r="111" spans="1:15" x14ac:dyDescent="0.25">
      <c r="D111" s="30" t="s">
        <v>10</v>
      </c>
      <c r="E111" s="22"/>
      <c r="F111" s="31" t="s">
        <v>11</v>
      </c>
      <c r="G111" s="30" t="s">
        <v>10</v>
      </c>
      <c r="H111" s="22"/>
      <c r="I111" s="31" t="s">
        <v>11</v>
      </c>
      <c r="J111" s="30" t="s">
        <v>10</v>
      </c>
      <c r="K111" s="22"/>
      <c r="L111" s="31" t="s">
        <v>11</v>
      </c>
      <c r="M111" s="30" t="s">
        <v>10</v>
      </c>
      <c r="N111" s="22"/>
      <c r="O111" s="31" t="s">
        <v>11</v>
      </c>
    </row>
    <row r="112" spans="1:15" x14ac:dyDescent="0.25">
      <c r="A112" s="19" t="s">
        <v>187</v>
      </c>
      <c r="D112" s="33" t="s">
        <v>14</v>
      </c>
      <c r="E112" s="31"/>
      <c r="F112" s="31"/>
      <c r="G112" s="34" t="s">
        <v>15</v>
      </c>
      <c r="H112" s="32"/>
      <c r="I112" s="30"/>
      <c r="J112" s="33" t="s">
        <v>14</v>
      </c>
      <c r="K112" s="31"/>
      <c r="L112" s="31"/>
      <c r="M112" s="34" t="s">
        <v>15</v>
      </c>
      <c r="N112" s="32"/>
      <c r="O112" s="30"/>
    </row>
    <row r="113" spans="1:15" x14ac:dyDescent="0.25">
      <c r="A113" s="2" t="s">
        <v>12</v>
      </c>
      <c r="B113" s="76">
        <v>54700</v>
      </c>
      <c r="D113" s="300">
        <v>0</v>
      </c>
      <c r="E113" s="13">
        <v>0</v>
      </c>
      <c r="F113" s="165">
        <v>21</v>
      </c>
      <c r="G113" s="301">
        <v>0</v>
      </c>
      <c r="H113" s="13">
        <v>0</v>
      </c>
      <c r="I113" s="165">
        <v>21</v>
      </c>
      <c r="J113" s="32">
        <v>0</v>
      </c>
      <c r="K113" s="13">
        <v>0</v>
      </c>
      <c r="L113" s="32">
        <v>4.5</v>
      </c>
      <c r="M113" s="32">
        <v>0</v>
      </c>
      <c r="N113" s="13">
        <v>0</v>
      </c>
      <c r="O113" s="32">
        <v>4.5</v>
      </c>
    </row>
    <row r="114" spans="1:15" x14ac:dyDescent="0.25">
      <c r="A114" s="1" t="s">
        <v>13</v>
      </c>
      <c r="B114" s="20"/>
      <c r="D114" s="301">
        <v>212500</v>
      </c>
      <c r="E114" s="13">
        <v>44625</v>
      </c>
      <c r="F114" s="165">
        <v>27.25</v>
      </c>
      <c r="G114" s="301">
        <v>424900</v>
      </c>
      <c r="H114" s="13">
        <v>89229</v>
      </c>
      <c r="I114" s="165">
        <v>27.25</v>
      </c>
      <c r="J114" s="32">
        <v>250000</v>
      </c>
      <c r="K114" s="13">
        <v>1125</v>
      </c>
      <c r="L114" s="32">
        <v>6.5</v>
      </c>
      <c r="M114" s="32">
        <v>400000</v>
      </c>
      <c r="N114" s="13">
        <v>1800</v>
      </c>
      <c r="O114" s="32">
        <v>6.5</v>
      </c>
    </row>
    <row r="115" spans="1:15" x14ac:dyDescent="0.25">
      <c r="A115" s="1" t="s">
        <v>3</v>
      </c>
      <c r="B115" s="20">
        <v>11487</v>
      </c>
      <c r="D115" s="301">
        <v>316300</v>
      </c>
      <c r="E115" s="307">
        <v>72910.5</v>
      </c>
      <c r="F115" s="165">
        <v>28.25</v>
      </c>
      <c r="G115" s="301">
        <v>632500</v>
      </c>
      <c r="H115" s="307">
        <v>145800</v>
      </c>
      <c r="I115" s="165">
        <v>28.25</v>
      </c>
      <c r="J115" s="32">
        <v>750000</v>
      </c>
      <c r="K115" s="13">
        <v>4375</v>
      </c>
      <c r="L115" s="32">
        <v>7.9</v>
      </c>
      <c r="M115" s="32">
        <v>1200000</v>
      </c>
      <c r="N115" s="13">
        <v>7000</v>
      </c>
      <c r="O115" s="32">
        <v>7.9</v>
      </c>
    </row>
    <row r="116" spans="1:15" x14ac:dyDescent="0.25">
      <c r="A116" s="1" t="s">
        <v>17</v>
      </c>
      <c r="B116" s="20">
        <v>11487</v>
      </c>
      <c r="D116" s="32"/>
      <c r="F116" s="32"/>
      <c r="G116" s="32"/>
      <c r="H116" s="13"/>
      <c r="I116" s="32"/>
      <c r="J116" s="32">
        <v>2500000</v>
      </c>
      <c r="K116" s="13">
        <v>18200</v>
      </c>
      <c r="L116" s="32">
        <v>7.9</v>
      </c>
      <c r="M116" s="32">
        <v>4000000</v>
      </c>
      <c r="N116" s="13">
        <v>29120</v>
      </c>
      <c r="O116" s="32">
        <v>7.9</v>
      </c>
    </row>
    <row r="117" spans="1:15" x14ac:dyDescent="0.25">
      <c r="A117" s="2" t="s">
        <v>9</v>
      </c>
      <c r="B117" s="76">
        <v>0</v>
      </c>
      <c r="D117" s="32"/>
      <c r="F117" s="32"/>
      <c r="G117" s="32"/>
      <c r="H117" s="13"/>
      <c r="I117" s="32"/>
      <c r="J117" s="32"/>
      <c r="K117" s="13"/>
      <c r="L117" s="32"/>
      <c r="M117" s="32"/>
      <c r="N117" s="13"/>
      <c r="O117" s="32"/>
    </row>
    <row r="118" spans="1:15" x14ac:dyDescent="0.25">
      <c r="A118" s="1" t="s">
        <v>13</v>
      </c>
      <c r="D118" s="32"/>
      <c r="F118" s="32"/>
      <c r="G118" s="32"/>
      <c r="H118" s="13"/>
      <c r="I118" s="32"/>
      <c r="J118" s="33"/>
      <c r="K118" s="31"/>
      <c r="L118" s="31"/>
      <c r="M118" s="32"/>
      <c r="N118" s="13"/>
      <c r="O118" s="32"/>
    </row>
    <row r="119" spans="1:15" x14ac:dyDescent="0.25">
      <c r="A119" s="1" t="s">
        <v>3</v>
      </c>
      <c r="B119" s="20">
        <v>0</v>
      </c>
      <c r="D119" s="32"/>
      <c r="F119" s="32"/>
      <c r="G119" s="32"/>
      <c r="H119" s="13"/>
      <c r="I119" s="32"/>
      <c r="J119" s="32"/>
      <c r="K119" s="13"/>
      <c r="L119" s="32"/>
    </row>
    <row r="120" spans="1:15" x14ac:dyDescent="0.25">
      <c r="A120" s="1" t="s">
        <v>17</v>
      </c>
      <c r="B120" s="20">
        <v>0</v>
      </c>
      <c r="D120" s="32"/>
      <c r="F120" s="32"/>
      <c r="G120" s="32"/>
      <c r="H120" s="13"/>
      <c r="I120" s="32"/>
      <c r="J120" s="32"/>
      <c r="K120" s="13"/>
      <c r="L120" s="32"/>
    </row>
    <row r="121" spans="1:15" x14ac:dyDescent="0.25">
      <c r="A121" s="2"/>
      <c r="B121" s="20"/>
      <c r="D121" s="32"/>
      <c r="F121" s="32"/>
      <c r="G121" s="32"/>
      <c r="H121" s="13"/>
      <c r="I121" s="32"/>
      <c r="J121" s="32"/>
      <c r="K121" s="13"/>
      <c r="L121" s="32"/>
    </row>
    <row r="122" spans="1:15" x14ac:dyDescent="0.25">
      <c r="A122" s="19" t="s">
        <v>186</v>
      </c>
      <c r="B122" s="20"/>
      <c r="D122" s="32"/>
      <c r="F122" s="32"/>
      <c r="G122" s="32"/>
      <c r="H122" s="13"/>
      <c r="I122" s="32"/>
      <c r="J122" s="32"/>
      <c r="K122" s="13"/>
      <c r="L122" s="32"/>
    </row>
    <row r="123" spans="1:15" x14ac:dyDescent="0.25">
      <c r="A123" s="2" t="s">
        <v>12</v>
      </c>
      <c r="B123" s="76">
        <v>42200</v>
      </c>
      <c r="D123" s="32"/>
      <c r="F123" s="32"/>
      <c r="G123" s="32"/>
      <c r="H123" s="13"/>
      <c r="I123" s="32"/>
    </row>
    <row r="124" spans="1:15" x14ac:dyDescent="0.25">
      <c r="A124" s="1" t="s">
        <v>13</v>
      </c>
      <c r="B124" s="20"/>
      <c r="D124" s="32"/>
      <c r="F124" s="32"/>
      <c r="G124" s="32"/>
      <c r="H124" s="13"/>
      <c r="I124" s="32"/>
    </row>
    <row r="125" spans="1:15" x14ac:dyDescent="0.25">
      <c r="A125" s="1" t="s">
        <v>3</v>
      </c>
      <c r="B125" s="20">
        <v>8862</v>
      </c>
      <c r="D125" s="32"/>
      <c r="F125" s="32"/>
      <c r="G125" s="32"/>
      <c r="H125" s="13"/>
      <c r="I125" s="32"/>
    </row>
    <row r="126" spans="1:15" x14ac:dyDescent="0.25">
      <c r="A126" s="1" t="s">
        <v>17</v>
      </c>
      <c r="B126" s="20">
        <v>8862</v>
      </c>
      <c r="D126" s="32"/>
      <c r="F126" s="32"/>
      <c r="G126" s="32"/>
      <c r="H126" s="13"/>
      <c r="I126" s="32"/>
    </row>
    <row r="127" spans="1:15" x14ac:dyDescent="0.25">
      <c r="A127" s="2" t="s">
        <v>9</v>
      </c>
      <c r="B127" s="76">
        <v>0</v>
      </c>
      <c r="D127"/>
      <c r="E127"/>
      <c r="F127"/>
      <c r="G127" s="32"/>
      <c r="H127" s="13"/>
      <c r="I127" s="32"/>
    </row>
    <row r="128" spans="1:15" x14ac:dyDescent="0.25">
      <c r="A128" s="1" t="s">
        <v>13</v>
      </c>
      <c r="D128" s="3"/>
      <c r="E128"/>
      <c r="F128"/>
      <c r="G128" s="32"/>
      <c r="H128" s="13"/>
      <c r="I128" s="32"/>
    </row>
    <row r="129" spans="1:15" x14ac:dyDescent="0.25">
      <c r="A129" s="1" t="s">
        <v>3</v>
      </c>
      <c r="B129" s="20">
        <v>0</v>
      </c>
      <c r="H129" s="13"/>
      <c r="I129" s="13"/>
      <c r="J129" s="13"/>
      <c r="K129" s="101"/>
    </row>
    <row r="130" spans="1:15" x14ac:dyDescent="0.25">
      <c r="A130" s="1" t="s">
        <v>17</v>
      </c>
      <c r="B130" s="20">
        <v>0</v>
      </c>
      <c r="H130" s="13"/>
      <c r="I130" s="13"/>
      <c r="J130" s="13"/>
      <c r="K130" s="101"/>
    </row>
    <row r="131" spans="1:15" x14ac:dyDescent="0.25">
      <c r="H131" s="13"/>
      <c r="I131" s="13"/>
      <c r="J131" s="13"/>
    </row>
    <row r="132" spans="1:15" x14ac:dyDescent="0.25">
      <c r="H132" s="13"/>
      <c r="I132" s="13"/>
      <c r="J132" s="13"/>
    </row>
    <row r="133" spans="1:15" ht="15.6" x14ac:dyDescent="0.3">
      <c r="A133" s="14" t="s">
        <v>80</v>
      </c>
      <c r="B133" s="20"/>
      <c r="H133" s="13"/>
    </row>
    <row r="134" spans="1:15" x14ac:dyDescent="0.25">
      <c r="A134" s="302" t="s">
        <v>168</v>
      </c>
    </row>
    <row r="135" spans="1:15" x14ac:dyDescent="0.25">
      <c r="D135" s="254" t="s">
        <v>4</v>
      </c>
      <c r="E135" s="15"/>
      <c r="F135" s="18"/>
      <c r="G135" s="296" t="s">
        <v>15</v>
      </c>
      <c r="I135" s="18"/>
      <c r="J135" s="3" t="s">
        <v>8</v>
      </c>
      <c r="M135" s="30"/>
      <c r="N135" s="22"/>
      <c r="O135" s="31"/>
    </row>
    <row r="136" spans="1:15" x14ac:dyDescent="0.25">
      <c r="A136" s="19" t="s">
        <v>187</v>
      </c>
      <c r="D136" s="18" t="s">
        <v>10</v>
      </c>
      <c r="E136" s="22"/>
      <c r="F136" s="159" t="s">
        <v>74</v>
      </c>
      <c r="G136" s="159" t="s">
        <v>93</v>
      </c>
      <c r="H136" s="218">
        <v>2</v>
      </c>
      <c r="I136" s="31"/>
      <c r="J136" s="30" t="s">
        <v>10</v>
      </c>
      <c r="K136" s="22"/>
      <c r="L136" s="31" t="s">
        <v>74</v>
      </c>
      <c r="M136" s="34"/>
      <c r="N136" s="32"/>
      <c r="O136" s="30"/>
    </row>
    <row r="137" spans="1:15" x14ac:dyDescent="0.25">
      <c r="A137" s="2" t="s">
        <v>12</v>
      </c>
      <c r="B137" s="76">
        <v>54700</v>
      </c>
      <c r="D137" s="13">
        <v>0</v>
      </c>
      <c r="E137" s="339">
        <v>0</v>
      </c>
      <c r="F137" s="295">
        <v>0</v>
      </c>
      <c r="J137" s="165">
        <v>0</v>
      </c>
      <c r="K137" s="165">
        <v>0</v>
      </c>
      <c r="L137" s="101">
        <v>0.5</v>
      </c>
      <c r="M137" s="165"/>
      <c r="N137" s="13"/>
      <c r="O137" s="32"/>
    </row>
    <row r="138" spans="1:15" x14ac:dyDescent="0.25">
      <c r="A138" s="1" t="s">
        <v>13</v>
      </c>
      <c r="B138" s="20"/>
      <c r="D138" s="13">
        <v>5200</v>
      </c>
      <c r="E138" s="339">
        <v>0.01</v>
      </c>
      <c r="F138" s="295">
        <v>2.5689430894308945E-4</v>
      </c>
      <c r="J138" s="165">
        <v>50000</v>
      </c>
      <c r="K138" s="13">
        <v>25</v>
      </c>
      <c r="L138" s="340">
        <v>1.1000000000000001</v>
      </c>
      <c r="M138" s="165"/>
      <c r="N138" s="13"/>
      <c r="O138" s="32"/>
    </row>
    <row r="139" spans="1:15" x14ac:dyDescent="0.25">
      <c r="A139" s="1" t="s">
        <v>3</v>
      </c>
      <c r="B139" s="20">
        <v>4636.6966709677426</v>
      </c>
      <c r="D139" s="163">
        <v>17500</v>
      </c>
      <c r="E139" s="339">
        <v>4.1598000000000003E-2</v>
      </c>
      <c r="F139" s="295">
        <v>1.4777697841726617E-4</v>
      </c>
      <c r="J139" s="165">
        <v>100000</v>
      </c>
      <c r="K139" s="13">
        <v>80</v>
      </c>
      <c r="L139" s="340">
        <v>1.8</v>
      </c>
      <c r="M139" s="165"/>
      <c r="N139" s="13"/>
      <c r="O139" s="32"/>
    </row>
    <row r="140" spans="1:15" x14ac:dyDescent="0.25">
      <c r="A140" s="1" t="s">
        <v>17</v>
      </c>
      <c r="B140" s="20">
        <v>3071.6255708633093</v>
      </c>
      <c r="D140" s="163">
        <v>31400</v>
      </c>
      <c r="E140" s="339">
        <v>6.2139E-2</v>
      </c>
      <c r="F140" s="295">
        <v>1.0776923076923082E-4</v>
      </c>
      <c r="J140" s="165">
        <v>200000</v>
      </c>
      <c r="K140" s="13">
        <v>260</v>
      </c>
      <c r="L140" s="340">
        <v>2.5</v>
      </c>
      <c r="M140" s="165"/>
      <c r="N140" s="13"/>
      <c r="O140" s="32"/>
    </row>
    <row r="141" spans="1:15" x14ac:dyDescent="0.25">
      <c r="A141" s="2" t="s">
        <v>9</v>
      </c>
      <c r="B141" s="76">
        <v>0</v>
      </c>
      <c r="D141" s="163">
        <v>48300</v>
      </c>
      <c r="E141" s="339">
        <v>8.0352000000000007E-2</v>
      </c>
      <c r="F141" s="295">
        <v>6.8967741935483813E-5</v>
      </c>
      <c r="J141" s="165">
        <v>400000</v>
      </c>
      <c r="K141" s="13">
        <v>760</v>
      </c>
      <c r="L141" s="340">
        <v>3.1</v>
      </c>
      <c r="M141" s="165"/>
      <c r="N141" s="13"/>
      <c r="O141" s="32"/>
    </row>
    <row r="142" spans="1:15" x14ac:dyDescent="0.25">
      <c r="A142" s="1" t="s">
        <v>13</v>
      </c>
      <c r="D142" s="163">
        <v>63800</v>
      </c>
      <c r="E142" s="339">
        <v>9.1041999999999998E-2</v>
      </c>
      <c r="F142" s="295">
        <v>6.3797101449275412E-5</v>
      </c>
      <c r="J142" s="165">
        <v>700000</v>
      </c>
      <c r="K142" s="13">
        <v>1690</v>
      </c>
      <c r="L142" s="340">
        <v>3.5</v>
      </c>
      <c r="M142" s="165"/>
      <c r="N142" s="13"/>
      <c r="O142" s="32"/>
    </row>
    <row r="143" spans="1:15" x14ac:dyDescent="0.25">
      <c r="A143" s="1" t="s">
        <v>3</v>
      </c>
      <c r="B143" s="20">
        <v>0</v>
      </c>
      <c r="D143" s="163">
        <v>77600</v>
      </c>
      <c r="E143" s="339">
        <v>9.9846000000000004E-2</v>
      </c>
      <c r="F143" s="295">
        <v>3.5983673469387718E-5</v>
      </c>
      <c r="J143" s="165">
        <v>1000000</v>
      </c>
      <c r="K143" s="13">
        <v>2740</v>
      </c>
      <c r="L143" s="340">
        <v>3.7</v>
      </c>
    </row>
    <row r="144" spans="1:15" x14ac:dyDescent="0.25">
      <c r="A144" s="1" t="s">
        <v>17</v>
      </c>
      <c r="B144" s="20">
        <v>0</v>
      </c>
      <c r="D144" s="163">
        <v>102100</v>
      </c>
      <c r="E144" s="339">
        <v>0.10866199999999999</v>
      </c>
      <c r="F144" s="295">
        <v>3.1992481203007536E-5</v>
      </c>
      <c r="J144" s="165">
        <v>1200000</v>
      </c>
      <c r="K144" s="13">
        <v>3480</v>
      </c>
      <c r="L144" s="101">
        <v>2.9</v>
      </c>
    </row>
    <row r="145" spans="1:13" x14ac:dyDescent="0.25">
      <c r="A145" s="2" t="s">
        <v>21</v>
      </c>
      <c r="B145" s="98">
        <v>54795.682725533959</v>
      </c>
      <c r="D145" s="163">
        <v>128700</v>
      </c>
      <c r="E145" s="339">
        <v>0.117172</v>
      </c>
      <c r="F145" s="295">
        <v>2.9974358974358957E-5</v>
      </c>
      <c r="J145" s="165"/>
      <c r="K145" s="13"/>
      <c r="L145" s="101"/>
    </row>
    <row r="146" spans="1:13" x14ac:dyDescent="0.25">
      <c r="A146" s="1" t="s">
        <v>22</v>
      </c>
      <c r="B146" s="20">
        <v>0</v>
      </c>
      <c r="D146" s="163">
        <v>156000</v>
      </c>
      <c r="E146" s="339">
        <v>0.12535499999999999</v>
      </c>
      <c r="F146" s="295">
        <v>2.2967999999999991E-5</v>
      </c>
      <c r="H146" s="59" t="s">
        <v>161</v>
      </c>
      <c r="J146" s="165"/>
      <c r="K146" s="13"/>
      <c r="L146" s="101"/>
    </row>
    <row r="147" spans="1:13" x14ac:dyDescent="0.25">
      <c r="A147" s="1" t="s">
        <v>81</v>
      </c>
      <c r="B147" s="20">
        <v>0</v>
      </c>
      <c r="D147" s="165">
        <v>181000</v>
      </c>
      <c r="E147" s="339">
        <v>0.13109699999999999</v>
      </c>
      <c r="F147" s="295">
        <v>1.501153846153853E-5</v>
      </c>
      <c r="I147" s="341" t="s">
        <v>162</v>
      </c>
      <c r="J147" s="296" t="s">
        <v>163</v>
      </c>
      <c r="K147" s="13"/>
      <c r="L147" s="101"/>
    </row>
    <row r="148" spans="1:13" x14ac:dyDescent="0.25">
      <c r="D148" s="165">
        <v>207000</v>
      </c>
      <c r="E148" s="339">
        <v>0.13500000000000001</v>
      </c>
      <c r="F148" s="295">
        <v>0</v>
      </c>
      <c r="H148" s="116" t="s">
        <v>188</v>
      </c>
      <c r="I148" s="13">
        <v>62700</v>
      </c>
      <c r="J148" s="301">
        <v>1500</v>
      </c>
      <c r="K148" s="13"/>
      <c r="L148" s="101"/>
    </row>
    <row r="149" spans="1:13" x14ac:dyDescent="0.25">
      <c r="A149" s="19" t="s">
        <v>186</v>
      </c>
      <c r="B149" s="20"/>
      <c r="D149" s="165">
        <v>207100</v>
      </c>
      <c r="E149" s="339">
        <v>0.13500000000000001</v>
      </c>
      <c r="F149" s="295">
        <v>0</v>
      </c>
      <c r="H149" s="116" t="s">
        <v>189</v>
      </c>
      <c r="I149" s="13">
        <v>72800</v>
      </c>
      <c r="J149" s="301">
        <v>800</v>
      </c>
      <c r="K149" s="13"/>
      <c r="L149" s="101"/>
    </row>
    <row r="150" spans="1:13" x14ac:dyDescent="0.25">
      <c r="A150" s="2" t="s">
        <v>12</v>
      </c>
      <c r="B150" s="76">
        <v>42200</v>
      </c>
      <c r="D150" s="32"/>
      <c r="F150" s="32"/>
      <c r="H150" s="116">
        <v>0</v>
      </c>
      <c r="I150" s="13">
        <v>82900</v>
      </c>
      <c r="J150" s="301">
        <v>0</v>
      </c>
      <c r="K150" s="13"/>
      <c r="L150" s="101"/>
    </row>
    <row r="151" spans="1:13" x14ac:dyDescent="0.25">
      <c r="A151" s="1" t="s">
        <v>13</v>
      </c>
      <c r="B151" s="20"/>
      <c r="D151"/>
      <c r="E151"/>
      <c r="F151"/>
      <c r="G151" s="32"/>
      <c r="H151" s="116">
        <v>0</v>
      </c>
      <c r="I151" s="13">
        <v>93000</v>
      </c>
      <c r="J151" s="301">
        <v>0</v>
      </c>
      <c r="K151" s="13"/>
      <c r="L151" s="101"/>
    </row>
    <row r="152" spans="1:13" x14ac:dyDescent="0.25">
      <c r="A152" s="1" t="s">
        <v>3</v>
      </c>
      <c r="B152" s="20">
        <v>3113.4348461538466</v>
      </c>
      <c r="D152" s="254" t="s">
        <v>158</v>
      </c>
      <c r="E152"/>
      <c r="F152"/>
      <c r="G152" s="32"/>
      <c r="H152" s="13"/>
      <c r="I152" s="32"/>
      <c r="J152" s="165"/>
      <c r="K152" s="13"/>
      <c r="L152" s="101"/>
    </row>
    <row r="153" spans="1:13" x14ac:dyDescent="0.25">
      <c r="A153" s="1" t="s">
        <v>17</v>
      </c>
      <c r="B153" s="20">
        <v>1979.938385611511</v>
      </c>
      <c r="D153" s="13">
        <v>20301</v>
      </c>
      <c r="E153" s="13">
        <v>4100</v>
      </c>
      <c r="F153" s="13">
        <v>200</v>
      </c>
      <c r="H153" s="13"/>
      <c r="I153" s="32"/>
      <c r="J153" s="165"/>
      <c r="K153" s="13"/>
      <c r="L153" s="101"/>
    </row>
    <row r="154" spans="1:13" x14ac:dyDescent="0.25">
      <c r="A154" s="2" t="s">
        <v>9</v>
      </c>
      <c r="B154" s="76">
        <v>0</v>
      </c>
      <c r="D154" s="13">
        <v>24301</v>
      </c>
      <c r="E154" s="13">
        <v>9100</v>
      </c>
      <c r="F154" s="13">
        <v>300</v>
      </c>
      <c r="H154" s="13"/>
      <c r="M154" s="165"/>
    </row>
    <row r="155" spans="1:13" x14ac:dyDescent="0.25">
      <c r="A155" s="1" t="s">
        <v>13</v>
      </c>
      <c r="D155" s="13">
        <v>24301</v>
      </c>
      <c r="E155" s="13">
        <v>5100</v>
      </c>
      <c r="F155" s="15">
        <v>200</v>
      </c>
      <c r="H155" s="13"/>
      <c r="J155" s="254" t="s">
        <v>159</v>
      </c>
    </row>
    <row r="156" spans="1:13" x14ac:dyDescent="0.25">
      <c r="A156" s="1" t="s">
        <v>3</v>
      </c>
      <c r="B156" s="20">
        <v>0</v>
      </c>
      <c r="D156" s="13">
        <v>30301</v>
      </c>
      <c r="E156" s="13">
        <v>11100</v>
      </c>
      <c r="F156" s="13">
        <v>400</v>
      </c>
      <c r="H156" s="13"/>
      <c r="I156" s="22"/>
      <c r="J156" s="13">
        <v>125000</v>
      </c>
      <c r="K156" s="13">
        <v>105000</v>
      </c>
      <c r="L156" s="13">
        <v>35000</v>
      </c>
      <c r="M156" s="13">
        <v>20000</v>
      </c>
    </row>
    <row r="157" spans="1:13" x14ac:dyDescent="0.25">
      <c r="A157" s="1" t="s">
        <v>17</v>
      </c>
      <c r="B157" s="20">
        <v>0</v>
      </c>
      <c r="H157" s="13"/>
      <c r="I157" s="15"/>
      <c r="J157" s="13">
        <v>75000</v>
      </c>
      <c r="K157" s="13">
        <v>55000</v>
      </c>
      <c r="L157" s="13">
        <v>25000</v>
      </c>
      <c r="M157" s="13">
        <v>10000</v>
      </c>
    </row>
    <row r="158" spans="1:13" x14ac:dyDescent="0.25">
      <c r="A158" s="2" t="s">
        <v>21</v>
      </c>
      <c r="B158" s="98">
        <v>42277.585901480124</v>
      </c>
      <c r="H158" s="13"/>
      <c r="I158" s="15"/>
      <c r="J158" s="13"/>
      <c r="K158" s="13"/>
      <c r="L158" s="13"/>
      <c r="M158" s="13"/>
    </row>
    <row r="159" spans="1:13" x14ac:dyDescent="0.25">
      <c r="A159" s="1" t="s">
        <v>22</v>
      </c>
      <c r="B159" s="20">
        <v>0</v>
      </c>
      <c r="H159" s="13"/>
      <c r="I159" s="15"/>
    </row>
    <row r="160" spans="1:13" x14ac:dyDescent="0.25">
      <c r="A160" s="1" t="s">
        <v>81</v>
      </c>
      <c r="B160" s="20">
        <v>1700</v>
      </c>
      <c r="H160" s="15"/>
      <c r="I160" s="15"/>
    </row>
    <row r="161" spans="1:15" x14ac:dyDescent="0.25">
      <c r="A161" s="1"/>
      <c r="B161" s="20"/>
      <c r="H161" s="15"/>
      <c r="I161" s="15"/>
    </row>
    <row r="162" spans="1:15" x14ac:dyDescent="0.25">
      <c r="I162" s="15"/>
    </row>
    <row r="163" spans="1:15" ht="15.6" x14ac:dyDescent="0.3">
      <c r="A163" s="14" t="s">
        <v>91</v>
      </c>
    </row>
    <row r="164" spans="1:15" x14ac:dyDescent="0.25">
      <c r="A164" s="302" t="s">
        <v>168</v>
      </c>
      <c r="D164" s="3" t="s">
        <v>4</v>
      </c>
      <c r="E164" s="15"/>
      <c r="F164" s="18"/>
      <c r="G164" s="18"/>
      <c r="H164" s="18"/>
      <c r="I164" s="18"/>
      <c r="J164" s="3" t="s">
        <v>8</v>
      </c>
    </row>
    <row r="165" spans="1:15" x14ac:dyDescent="0.25">
      <c r="D165" s="30" t="s">
        <v>10</v>
      </c>
      <c r="E165" s="22"/>
      <c r="F165" s="31" t="s">
        <v>11</v>
      </c>
      <c r="G165" s="30" t="s">
        <v>10</v>
      </c>
      <c r="H165" s="22"/>
      <c r="I165" s="31" t="s">
        <v>11</v>
      </c>
      <c r="J165" s="30" t="s">
        <v>10</v>
      </c>
      <c r="K165" s="22"/>
      <c r="L165" s="31" t="s">
        <v>11</v>
      </c>
      <c r="M165" s="30"/>
      <c r="N165" s="22"/>
      <c r="O165" s="31"/>
    </row>
    <row r="166" spans="1:15" x14ac:dyDescent="0.25">
      <c r="A166" s="19" t="s">
        <v>187</v>
      </c>
      <c r="D166" s="33" t="s">
        <v>14</v>
      </c>
      <c r="E166" s="31"/>
      <c r="F166" s="31"/>
      <c r="G166" s="34" t="s">
        <v>15</v>
      </c>
      <c r="H166" s="32"/>
      <c r="I166" s="30"/>
      <c r="J166" s="33"/>
      <c r="K166" s="31"/>
      <c r="L166" s="31"/>
      <c r="M166" s="34"/>
      <c r="N166" s="32"/>
      <c r="O166" s="30"/>
    </row>
    <row r="167" spans="1:15" x14ac:dyDescent="0.25">
      <c r="A167" s="2" t="s">
        <v>12</v>
      </c>
      <c r="B167" s="76">
        <v>54700</v>
      </c>
      <c r="D167" s="301">
        <v>0</v>
      </c>
      <c r="E167" s="13">
        <v>0</v>
      </c>
      <c r="F167" s="165">
        <v>0</v>
      </c>
      <c r="G167" s="300">
        <v>0</v>
      </c>
      <c r="H167" s="13">
        <v>0</v>
      </c>
      <c r="I167" s="165">
        <v>0</v>
      </c>
      <c r="J167" s="32">
        <v>0</v>
      </c>
      <c r="K167" s="13">
        <v>0</v>
      </c>
      <c r="L167" s="336">
        <v>0.75</v>
      </c>
      <c r="M167" s="32"/>
      <c r="N167" s="13"/>
      <c r="O167" s="32"/>
    </row>
    <row r="168" spans="1:15" x14ac:dyDescent="0.25">
      <c r="A168" s="1" t="s">
        <v>13</v>
      </c>
      <c r="B168" s="20"/>
      <c r="D168" s="301">
        <v>9900</v>
      </c>
      <c r="E168" s="13">
        <v>0</v>
      </c>
      <c r="F168" s="165">
        <v>0.5</v>
      </c>
      <c r="G168" s="301">
        <v>19900</v>
      </c>
      <c r="H168" s="13">
        <v>0</v>
      </c>
      <c r="I168" s="165">
        <v>0.5</v>
      </c>
      <c r="J168" s="101">
        <v>200000</v>
      </c>
      <c r="K168" s="13">
        <v>150</v>
      </c>
      <c r="L168" s="336">
        <v>0.75</v>
      </c>
      <c r="M168" s="101"/>
      <c r="N168" s="13"/>
      <c r="O168" s="32"/>
    </row>
    <row r="169" spans="1:15" x14ac:dyDescent="0.25">
      <c r="A169" s="1" t="s">
        <v>3</v>
      </c>
      <c r="B169" s="20">
        <v>1896.5</v>
      </c>
      <c r="D169" s="301">
        <v>12300</v>
      </c>
      <c r="E169" s="13">
        <v>12</v>
      </c>
      <c r="F169" s="165">
        <v>1</v>
      </c>
      <c r="G169" s="301">
        <v>24000</v>
      </c>
      <c r="H169" s="13">
        <v>20.5</v>
      </c>
      <c r="I169" s="165">
        <v>1.5</v>
      </c>
      <c r="J169" s="101">
        <v>400000</v>
      </c>
      <c r="K169" s="13">
        <v>300</v>
      </c>
      <c r="L169" s="336">
        <v>0.75</v>
      </c>
      <c r="M169" s="101"/>
      <c r="N169" s="13"/>
      <c r="O169" s="32"/>
    </row>
    <row r="170" spans="1:15" x14ac:dyDescent="0.25">
      <c r="A170" s="1" t="s">
        <v>17</v>
      </c>
      <c r="B170" s="20">
        <v>1274.5</v>
      </c>
      <c r="D170" s="301">
        <v>15500</v>
      </c>
      <c r="E170" s="13">
        <v>44</v>
      </c>
      <c r="F170" s="165">
        <v>2</v>
      </c>
      <c r="G170" s="301">
        <v>25000</v>
      </c>
      <c r="H170" s="13">
        <v>35.5</v>
      </c>
      <c r="I170" s="165">
        <v>2.5</v>
      </c>
      <c r="J170" s="101">
        <v>600000</v>
      </c>
      <c r="K170" s="13">
        <v>450</v>
      </c>
      <c r="L170" s="336">
        <v>0.75</v>
      </c>
      <c r="M170" s="101"/>
      <c r="N170" s="13"/>
      <c r="O170" s="32"/>
    </row>
    <row r="171" spans="1:15" x14ac:dyDescent="0.25">
      <c r="A171" s="2" t="s">
        <v>9</v>
      </c>
      <c r="B171" s="76">
        <v>0</v>
      </c>
      <c r="D171" s="301">
        <v>16600</v>
      </c>
      <c r="E171" s="13">
        <v>66</v>
      </c>
      <c r="F171" s="165">
        <v>3</v>
      </c>
      <c r="G171" s="301">
        <v>26200</v>
      </c>
      <c r="H171" s="13">
        <v>65.5</v>
      </c>
      <c r="I171" s="165">
        <v>3</v>
      </c>
      <c r="J171" s="101">
        <v>800000</v>
      </c>
      <c r="K171" s="13">
        <v>600</v>
      </c>
      <c r="L171" s="336">
        <v>0.75</v>
      </c>
      <c r="M171" s="101"/>
      <c r="N171" s="13"/>
      <c r="O171" s="32"/>
    </row>
    <row r="172" spans="1:15" x14ac:dyDescent="0.25">
      <c r="A172" s="1" t="s">
        <v>13</v>
      </c>
      <c r="D172" s="301">
        <v>17800</v>
      </c>
      <c r="E172" s="13">
        <v>102</v>
      </c>
      <c r="F172" s="165">
        <v>4</v>
      </c>
      <c r="G172" s="301">
        <v>28300</v>
      </c>
      <c r="H172" s="13">
        <v>128.5</v>
      </c>
      <c r="I172" s="165">
        <v>3.5</v>
      </c>
      <c r="J172" s="32">
        <v>1000000</v>
      </c>
      <c r="K172" s="13">
        <v>750</v>
      </c>
      <c r="L172" s="336">
        <v>0.75</v>
      </c>
      <c r="M172" s="32"/>
      <c r="N172" s="13"/>
      <c r="O172" s="32"/>
    </row>
    <row r="173" spans="1:15" x14ac:dyDescent="0.25">
      <c r="A173" s="1" t="s">
        <v>3</v>
      </c>
      <c r="B173" s="20">
        <v>0</v>
      </c>
      <c r="D173" s="301">
        <v>20700</v>
      </c>
      <c r="E173" s="13">
        <v>218</v>
      </c>
      <c r="F173" s="165">
        <v>4.5</v>
      </c>
      <c r="G173" s="301">
        <v>32500</v>
      </c>
      <c r="H173" s="13">
        <v>275.5</v>
      </c>
      <c r="I173" s="165">
        <v>4.5</v>
      </c>
      <c r="J173" s="13"/>
      <c r="K173" s="13"/>
      <c r="L173" s="32"/>
      <c r="M173" s="13"/>
      <c r="N173" s="13"/>
      <c r="O173" s="32"/>
    </row>
    <row r="174" spans="1:15" x14ac:dyDescent="0.25">
      <c r="A174" s="1" t="s">
        <v>17</v>
      </c>
      <c r="B174" s="20">
        <v>0</v>
      </c>
      <c r="D174" s="301">
        <v>25000</v>
      </c>
      <c r="E174" s="13">
        <v>411.5</v>
      </c>
      <c r="F174" s="165">
        <v>5</v>
      </c>
      <c r="G174" s="301">
        <v>99000</v>
      </c>
      <c r="H174" s="13">
        <v>3268</v>
      </c>
      <c r="I174" s="165">
        <v>5</v>
      </c>
    </row>
    <row r="175" spans="1:15" x14ac:dyDescent="0.25">
      <c r="A175" s="2" t="s">
        <v>21</v>
      </c>
      <c r="B175" s="313">
        <v>81695.682725533959</v>
      </c>
      <c r="D175" s="301">
        <v>110000</v>
      </c>
      <c r="E175" s="13">
        <v>4661.5</v>
      </c>
      <c r="F175" s="165">
        <v>5.25</v>
      </c>
      <c r="G175" s="301">
        <v>137900</v>
      </c>
      <c r="H175" s="13">
        <v>5213</v>
      </c>
      <c r="I175" s="165">
        <v>5.5</v>
      </c>
    </row>
    <row r="176" spans="1:15" x14ac:dyDescent="0.25">
      <c r="A176" s="1" t="s">
        <v>22</v>
      </c>
      <c r="B176" s="337">
        <v>0</v>
      </c>
      <c r="D176" s="301">
        <v>163800</v>
      </c>
      <c r="E176" s="13">
        <v>7486</v>
      </c>
      <c r="F176" s="165">
        <v>5.5</v>
      </c>
      <c r="G176" s="301">
        <v>159000</v>
      </c>
      <c r="H176" s="13">
        <v>6373.5</v>
      </c>
      <c r="I176" s="165">
        <v>5.8</v>
      </c>
    </row>
    <row r="177" spans="1:9" x14ac:dyDescent="0.25">
      <c r="A177" s="85" t="s">
        <v>23</v>
      </c>
      <c r="B177" s="337">
        <v>0</v>
      </c>
      <c r="D177" s="301">
        <v>190000</v>
      </c>
      <c r="E177" s="13">
        <v>8927</v>
      </c>
      <c r="F177" s="165">
        <v>5.8</v>
      </c>
      <c r="G177" s="301">
        <v>1424300</v>
      </c>
      <c r="H177" s="13">
        <v>79760.899999999994</v>
      </c>
      <c r="I177" s="165">
        <v>5.6</v>
      </c>
    </row>
    <row r="178" spans="1:9" x14ac:dyDescent="0.25">
      <c r="D178" s="301">
        <v>2093000</v>
      </c>
      <c r="E178" s="13">
        <v>119301</v>
      </c>
      <c r="F178" s="165">
        <v>5.7</v>
      </c>
      <c r="G178" s="301">
        <v>1424300</v>
      </c>
      <c r="H178" s="13">
        <v>79760.899999999994</v>
      </c>
      <c r="I178" s="165">
        <v>5.6</v>
      </c>
    </row>
    <row r="179" spans="1:9" x14ac:dyDescent="0.25">
      <c r="A179" s="19" t="s">
        <v>186</v>
      </c>
      <c r="B179" s="20"/>
      <c r="D179" s="32"/>
      <c r="F179" s="32"/>
      <c r="G179" s="32"/>
      <c r="H179" s="13"/>
      <c r="I179" s="32"/>
    </row>
    <row r="180" spans="1:9" x14ac:dyDescent="0.25">
      <c r="A180" s="2" t="s">
        <v>12</v>
      </c>
      <c r="B180" s="76">
        <v>42200</v>
      </c>
      <c r="D180" s="302" t="s">
        <v>172</v>
      </c>
      <c r="E180" s="307"/>
      <c r="F180" s="304"/>
      <c r="G180" s="304"/>
      <c r="H180" s="13"/>
      <c r="I180" s="32"/>
    </row>
    <row r="181" spans="1:9" x14ac:dyDescent="0.25">
      <c r="A181" s="1" t="s">
        <v>13</v>
      </c>
      <c r="B181" s="20"/>
      <c r="D181" s="315" t="s">
        <v>173</v>
      </c>
      <c r="E181" s="312"/>
      <c r="F181" s="312"/>
      <c r="G181" s="32"/>
      <c r="H181" s="13"/>
      <c r="I181" s="32"/>
    </row>
    <row r="182" spans="1:9" x14ac:dyDescent="0.25">
      <c r="A182" s="1" t="s">
        <v>3</v>
      </c>
      <c r="B182" s="20">
        <v>1271.5</v>
      </c>
      <c r="D182" s="335" t="s">
        <v>14</v>
      </c>
      <c r="E182" s="312"/>
      <c r="F182" s="324">
        <v>50000</v>
      </c>
      <c r="G182" s="32"/>
      <c r="H182" s="13"/>
      <c r="I182" s="32"/>
    </row>
    <row r="183" spans="1:9" x14ac:dyDescent="0.25">
      <c r="A183" s="1" t="s">
        <v>17</v>
      </c>
      <c r="B183" s="20">
        <v>712</v>
      </c>
      <c r="D183" s="301" t="s">
        <v>15</v>
      </c>
      <c r="E183" s="307"/>
      <c r="F183" s="324">
        <v>80000</v>
      </c>
      <c r="H183" s="13"/>
      <c r="I183" s="32"/>
    </row>
    <row r="184" spans="1:9" x14ac:dyDescent="0.25">
      <c r="A184" s="2" t="s">
        <v>9</v>
      </c>
      <c r="B184" s="76">
        <v>0</v>
      </c>
      <c r="D184" s="334" t="s">
        <v>174</v>
      </c>
      <c r="E184" s="307"/>
      <c r="F184" s="338">
        <v>0.14000000000000001</v>
      </c>
      <c r="H184" s="13"/>
    </row>
    <row r="185" spans="1:9" x14ac:dyDescent="0.25">
      <c r="A185" s="1" t="s">
        <v>13</v>
      </c>
      <c r="H185" s="13"/>
    </row>
    <row r="186" spans="1:9" x14ac:dyDescent="0.25">
      <c r="A186" s="1" t="s">
        <v>3</v>
      </c>
      <c r="B186" s="20">
        <v>0</v>
      </c>
      <c r="H186" s="13"/>
    </row>
    <row r="187" spans="1:9" x14ac:dyDescent="0.25">
      <c r="A187" s="1" t="s">
        <v>17</v>
      </c>
      <c r="B187" s="20">
        <v>0</v>
      </c>
      <c r="H187" s="13"/>
    </row>
    <row r="188" spans="1:9" x14ac:dyDescent="0.25">
      <c r="A188" s="2" t="s">
        <v>21</v>
      </c>
      <c r="B188" s="313">
        <v>49977.585901480124</v>
      </c>
      <c r="H188" s="13"/>
    </row>
    <row r="189" spans="1:9" x14ac:dyDescent="0.25">
      <c r="A189" s="1" t="s">
        <v>22</v>
      </c>
      <c r="B189" s="337">
        <v>0</v>
      </c>
      <c r="H189" s="13"/>
    </row>
    <row r="190" spans="1:9" x14ac:dyDescent="0.25">
      <c r="A190" s="85" t="s">
        <v>23</v>
      </c>
      <c r="B190" s="337">
        <v>4200</v>
      </c>
      <c r="I190" s="15"/>
    </row>
    <row r="191" spans="1:9" x14ac:dyDescent="0.25">
      <c r="A191" s="85"/>
      <c r="B191" s="85"/>
      <c r="I191" s="15"/>
    </row>
    <row r="192" spans="1:9" x14ac:dyDescent="0.25">
      <c r="A192" s="1"/>
      <c r="B192" s="20"/>
      <c r="H192" s="15"/>
      <c r="I192" s="15"/>
    </row>
    <row r="193" spans="1:15" ht="15.6" x14ac:dyDescent="0.3">
      <c r="A193" s="14" t="s">
        <v>67</v>
      </c>
    </row>
    <row r="194" spans="1:15" x14ac:dyDescent="0.25">
      <c r="A194" s="302" t="s">
        <v>168</v>
      </c>
      <c r="D194" s="3" t="s">
        <v>4</v>
      </c>
      <c r="E194" s="15"/>
      <c r="F194" s="18"/>
      <c r="G194" s="18"/>
      <c r="H194" s="18"/>
      <c r="I194" s="18"/>
      <c r="J194" s="328" t="s">
        <v>8</v>
      </c>
      <c r="K194" s="329"/>
      <c r="L194" s="312"/>
      <c r="M194" s="312"/>
      <c r="N194" s="312"/>
      <c r="O194" s="312"/>
    </row>
    <row r="195" spans="1:15" x14ac:dyDescent="0.25">
      <c r="D195" s="30" t="s">
        <v>10</v>
      </c>
      <c r="E195" s="22"/>
      <c r="F195" s="31" t="s">
        <v>11</v>
      </c>
      <c r="G195" s="30"/>
      <c r="H195" s="22"/>
      <c r="I195" s="31"/>
      <c r="J195" s="330" t="s">
        <v>10</v>
      </c>
      <c r="K195" s="331"/>
      <c r="L195" s="332" t="s">
        <v>11</v>
      </c>
      <c r="M195" s="330" t="s">
        <v>10</v>
      </c>
      <c r="N195" s="331"/>
      <c r="O195" s="332" t="s">
        <v>11</v>
      </c>
    </row>
    <row r="196" spans="1:15" x14ac:dyDescent="0.25">
      <c r="A196" s="19" t="s">
        <v>187</v>
      </c>
      <c r="D196" s="33" t="s">
        <v>14</v>
      </c>
      <c r="E196" s="31"/>
      <c r="F196" s="31"/>
      <c r="G196" s="34" t="s">
        <v>15</v>
      </c>
      <c r="H196" s="32"/>
      <c r="I196" s="30"/>
      <c r="J196" s="333" t="s">
        <v>14</v>
      </c>
      <c r="K196" s="332"/>
      <c r="L196" s="332"/>
      <c r="M196" s="334" t="s">
        <v>15</v>
      </c>
      <c r="N196" s="304"/>
      <c r="O196" s="330"/>
    </row>
    <row r="197" spans="1:15" x14ac:dyDescent="0.25">
      <c r="A197" s="2" t="s">
        <v>12</v>
      </c>
      <c r="B197" s="76">
        <v>54700</v>
      </c>
      <c r="D197" s="307">
        <v>0</v>
      </c>
      <c r="E197" s="307">
        <v>0</v>
      </c>
      <c r="F197" s="301">
        <v>0</v>
      </c>
      <c r="G197" s="32" t="s">
        <v>61</v>
      </c>
      <c r="H197" s="13"/>
      <c r="I197" s="32"/>
      <c r="J197" s="304">
        <v>0</v>
      </c>
      <c r="K197" s="307">
        <v>0</v>
      </c>
      <c r="L197" s="304">
        <v>1.7</v>
      </c>
      <c r="M197" s="304">
        <v>0</v>
      </c>
      <c r="N197" s="307">
        <v>0</v>
      </c>
      <c r="O197" s="304">
        <v>1.7</v>
      </c>
    </row>
    <row r="198" spans="1:15" x14ac:dyDescent="0.25">
      <c r="A198" s="335" t="s">
        <v>170</v>
      </c>
      <c r="B198" s="306">
        <v>27350</v>
      </c>
      <c r="D198" s="301">
        <v>11600</v>
      </c>
      <c r="E198" s="307">
        <v>0</v>
      </c>
      <c r="F198" s="301">
        <v>4</v>
      </c>
      <c r="G198" s="304" t="s">
        <v>94</v>
      </c>
      <c r="H198" s="307"/>
      <c r="I198" s="32"/>
      <c r="J198" s="304">
        <v>1000</v>
      </c>
      <c r="K198" s="307">
        <v>1.7</v>
      </c>
      <c r="L198" s="304">
        <v>1.7</v>
      </c>
      <c r="M198" s="304">
        <v>1000</v>
      </c>
      <c r="N198" s="307">
        <v>1.7</v>
      </c>
      <c r="O198" s="304">
        <v>1.7</v>
      </c>
    </row>
    <row r="199" spans="1:15" x14ac:dyDescent="0.25">
      <c r="A199" s="1" t="s">
        <v>13</v>
      </c>
      <c r="B199" s="20"/>
      <c r="D199" s="301">
        <v>15800</v>
      </c>
      <c r="E199" s="307">
        <v>168</v>
      </c>
      <c r="F199" s="301">
        <v>6</v>
      </c>
      <c r="G199" s="304" t="s">
        <v>93</v>
      </c>
      <c r="H199" s="324">
        <v>2</v>
      </c>
      <c r="I199" s="32"/>
      <c r="J199" s="304">
        <v>100000</v>
      </c>
      <c r="K199" s="307">
        <v>170</v>
      </c>
      <c r="L199" s="304">
        <v>1.7</v>
      </c>
      <c r="M199" s="304">
        <v>100000</v>
      </c>
      <c r="N199" s="307">
        <v>170</v>
      </c>
      <c r="O199" s="304">
        <v>1.7</v>
      </c>
    </row>
    <row r="200" spans="1:15" x14ac:dyDescent="0.25">
      <c r="A200" s="1" t="s">
        <v>3</v>
      </c>
      <c r="B200" s="20">
        <v>2920</v>
      </c>
      <c r="D200" s="301">
        <v>33800</v>
      </c>
      <c r="E200" s="307">
        <v>1248</v>
      </c>
      <c r="F200" s="301">
        <v>8</v>
      </c>
      <c r="G200" s="32"/>
      <c r="H200" s="13"/>
      <c r="I200" s="32"/>
      <c r="J200" s="307">
        <v>1000000</v>
      </c>
      <c r="K200" s="307">
        <v>1700</v>
      </c>
      <c r="L200" s="304">
        <v>1.7</v>
      </c>
      <c r="M200" s="307">
        <v>1000000</v>
      </c>
      <c r="N200" s="307">
        <v>1700</v>
      </c>
      <c r="O200" s="304">
        <v>1.7</v>
      </c>
    </row>
    <row r="201" spans="1:15" x14ac:dyDescent="0.25">
      <c r="A201" s="1" t="s">
        <v>17</v>
      </c>
      <c r="B201" s="20">
        <v>1722</v>
      </c>
      <c r="D201" s="301">
        <v>60200</v>
      </c>
      <c r="E201" s="307">
        <v>3360</v>
      </c>
      <c r="F201" s="301">
        <v>9.1999999999999993</v>
      </c>
      <c r="G201" s="32"/>
      <c r="H201" s="13"/>
      <c r="I201" s="32"/>
      <c r="J201" s="13"/>
      <c r="K201" s="13"/>
      <c r="L201" s="32"/>
      <c r="M201" s="13"/>
      <c r="N201" s="13"/>
      <c r="O201" s="32"/>
    </row>
    <row r="202" spans="1:15" x14ac:dyDescent="0.25">
      <c r="A202" s="2" t="s">
        <v>9</v>
      </c>
      <c r="B202" s="76">
        <v>0</v>
      </c>
      <c r="D202" s="301">
        <v>98300</v>
      </c>
      <c r="E202" s="307">
        <v>6865.2</v>
      </c>
      <c r="F202" s="301">
        <v>9.4</v>
      </c>
      <c r="G202" s="32"/>
      <c r="H202" s="13"/>
      <c r="I202" s="32"/>
      <c r="J202" s="32"/>
      <c r="K202" s="13"/>
      <c r="L202" s="32"/>
      <c r="M202" s="32"/>
      <c r="N202" s="13"/>
      <c r="O202" s="32"/>
    </row>
    <row r="203" spans="1:15" x14ac:dyDescent="0.25">
      <c r="A203" s="1" t="s">
        <v>13</v>
      </c>
      <c r="D203" s="301">
        <v>264200</v>
      </c>
      <c r="E203" s="307">
        <v>22459.8</v>
      </c>
      <c r="F203" s="301">
        <v>8.5</v>
      </c>
      <c r="G203" s="32"/>
      <c r="H203" s="13"/>
      <c r="I203" s="32"/>
      <c r="J203" s="3"/>
      <c r="K203" s="2"/>
    </row>
    <row r="204" spans="1:15" x14ac:dyDescent="0.25">
      <c r="A204" s="1" t="s">
        <v>3</v>
      </c>
      <c r="B204" s="20">
        <v>0</v>
      </c>
      <c r="D204" s="32"/>
      <c r="F204" s="32"/>
      <c r="G204" s="32"/>
      <c r="H204" s="13"/>
      <c r="I204" s="32"/>
      <c r="J204" s="30"/>
      <c r="K204" s="22"/>
      <c r="L204" s="31"/>
      <c r="M204" s="30"/>
      <c r="N204" s="22"/>
      <c r="O204" s="31"/>
    </row>
    <row r="205" spans="1:15" x14ac:dyDescent="0.25">
      <c r="A205" s="1" t="s">
        <v>17</v>
      </c>
      <c r="B205" s="20">
        <v>0</v>
      </c>
      <c r="D205" s="32"/>
      <c r="F205" s="32"/>
      <c r="G205" s="32"/>
      <c r="H205" s="13"/>
      <c r="I205" s="32"/>
      <c r="J205" s="33"/>
      <c r="K205" s="31"/>
      <c r="L205" s="31"/>
      <c r="M205" s="34"/>
      <c r="N205" s="32"/>
      <c r="O205" s="30"/>
    </row>
    <row r="206" spans="1:15" x14ac:dyDescent="0.25">
      <c r="D206" s="32"/>
      <c r="F206" s="32"/>
      <c r="G206" s="32"/>
      <c r="H206" s="13"/>
      <c r="I206" s="32"/>
      <c r="J206" s="32"/>
      <c r="K206" s="13"/>
      <c r="L206" s="165"/>
      <c r="M206" s="32"/>
      <c r="N206" s="13"/>
      <c r="O206" s="32"/>
    </row>
    <row r="207" spans="1:15" x14ac:dyDescent="0.25">
      <c r="A207" s="19" t="s">
        <v>186</v>
      </c>
      <c r="B207" s="20"/>
      <c r="D207" s="32"/>
      <c r="F207" s="32"/>
      <c r="G207" s="32"/>
      <c r="H207" s="13"/>
      <c r="I207" s="32"/>
      <c r="J207" s="32"/>
      <c r="K207" s="13"/>
      <c r="L207" s="165"/>
      <c r="M207" s="32"/>
      <c r="N207" s="13"/>
      <c r="O207" s="32"/>
    </row>
    <row r="208" spans="1:15" x14ac:dyDescent="0.25">
      <c r="A208" s="2" t="s">
        <v>12</v>
      </c>
      <c r="B208" s="76">
        <v>42200</v>
      </c>
      <c r="D208" s="32"/>
      <c r="F208" s="32"/>
      <c r="G208" s="32"/>
      <c r="H208" s="13"/>
      <c r="I208" s="32"/>
      <c r="J208" s="32"/>
      <c r="K208" s="13"/>
      <c r="L208" s="165"/>
      <c r="M208" s="32"/>
      <c r="N208" s="13"/>
      <c r="O208" s="32"/>
    </row>
    <row r="209" spans="1:15" x14ac:dyDescent="0.25">
      <c r="A209" s="335" t="s">
        <v>170</v>
      </c>
      <c r="B209" s="306">
        <v>21100</v>
      </c>
      <c r="D209" s="32"/>
      <c r="F209" s="32"/>
      <c r="G209" s="32"/>
      <c r="H209" s="13"/>
      <c r="I209" s="32"/>
      <c r="J209" s="13"/>
      <c r="K209" s="13"/>
      <c r="L209" s="165"/>
      <c r="M209" s="13"/>
      <c r="N209" s="13"/>
      <c r="O209" s="32"/>
    </row>
    <row r="210" spans="1:15" x14ac:dyDescent="0.25">
      <c r="A210" s="1" t="s">
        <v>13</v>
      </c>
      <c r="B210" s="20"/>
      <c r="D210" s="32"/>
      <c r="F210" s="32"/>
      <c r="G210" s="32"/>
      <c r="H210" s="13"/>
      <c r="I210" s="32"/>
      <c r="J210" s="13"/>
      <c r="K210" s="13"/>
      <c r="L210" s="32"/>
      <c r="M210" s="13"/>
      <c r="N210" s="13"/>
      <c r="O210" s="32"/>
    </row>
    <row r="211" spans="1:15" x14ac:dyDescent="0.25">
      <c r="A211" s="1" t="s">
        <v>3</v>
      </c>
      <c r="B211" s="20">
        <v>1920</v>
      </c>
      <c r="D211" s="32"/>
      <c r="F211" s="32"/>
      <c r="G211" s="32"/>
      <c r="H211" s="13"/>
      <c r="I211" s="32"/>
    </row>
    <row r="212" spans="1:15" x14ac:dyDescent="0.25">
      <c r="A212" s="1" t="s">
        <v>17</v>
      </c>
      <c r="B212" s="20">
        <v>972</v>
      </c>
      <c r="D212" s="3"/>
      <c r="E212"/>
      <c r="F212"/>
      <c r="G212" s="32"/>
      <c r="H212" s="13"/>
      <c r="I212" s="32"/>
    </row>
    <row r="213" spans="1:15" x14ac:dyDescent="0.25">
      <c r="A213" s="2" t="s">
        <v>9</v>
      </c>
      <c r="B213" s="76">
        <v>0</v>
      </c>
      <c r="H213" s="13"/>
      <c r="I213" s="32"/>
    </row>
    <row r="214" spans="1:15" x14ac:dyDescent="0.25">
      <c r="A214" s="1" t="s">
        <v>13</v>
      </c>
      <c r="H214" s="13"/>
    </row>
    <row r="215" spans="1:15" x14ac:dyDescent="0.25">
      <c r="A215" s="1" t="s">
        <v>3</v>
      </c>
      <c r="B215" s="20">
        <v>0</v>
      </c>
      <c r="H215" s="13"/>
    </row>
    <row r="216" spans="1:15" x14ac:dyDescent="0.25">
      <c r="A216" s="1" t="s">
        <v>17</v>
      </c>
      <c r="B216" s="20">
        <v>0</v>
      </c>
      <c r="H216" s="13"/>
    </row>
    <row r="217" spans="1:15" x14ac:dyDescent="0.25">
      <c r="A217" s="1"/>
      <c r="B217" s="20"/>
      <c r="H217" s="13"/>
    </row>
    <row r="218" spans="1:15" x14ac:dyDescent="0.25">
      <c r="I218" s="15"/>
    </row>
    <row r="219" spans="1:15" ht="15.6" x14ac:dyDescent="0.3">
      <c r="A219" s="14" t="s">
        <v>65</v>
      </c>
    </row>
    <row r="220" spans="1:15" x14ac:dyDescent="0.25">
      <c r="A220" s="302" t="s">
        <v>168</v>
      </c>
      <c r="D220" s="3" t="s">
        <v>4</v>
      </c>
      <c r="E220" s="15"/>
      <c r="F220" s="18"/>
      <c r="G220" s="18"/>
      <c r="H220" s="18"/>
      <c r="I220" s="18"/>
      <c r="J220" s="3" t="s">
        <v>8</v>
      </c>
    </row>
    <row r="221" spans="1:15" x14ac:dyDescent="0.25">
      <c r="D221" s="30" t="s">
        <v>10</v>
      </c>
      <c r="E221" s="22"/>
      <c r="F221" s="31" t="s">
        <v>11</v>
      </c>
      <c r="G221" s="30" t="s">
        <v>10</v>
      </c>
      <c r="H221" s="22"/>
      <c r="I221" s="31" t="s">
        <v>11</v>
      </c>
      <c r="J221" s="30" t="s">
        <v>10</v>
      </c>
      <c r="K221" s="22"/>
      <c r="L221" s="31" t="s">
        <v>11</v>
      </c>
      <c r="M221" s="30" t="s">
        <v>10</v>
      </c>
      <c r="N221" s="22"/>
      <c r="O221" s="31" t="s">
        <v>11</v>
      </c>
    </row>
    <row r="222" spans="1:15" x14ac:dyDescent="0.25">
      <c r="A222" s="19" t="s">
        <v>187</v>
      </c>
      <c r="D222" s="33" t="s">
        <v>14</v>
      </c>
      <c r="E222" s="31"/>
      <c r="F222" s="31"/>
      <c r="G222" s="34" t="s">
        <v>15</v>
      </c>
      <c r="H222" s="32"/>
      <c r="I222" s="136"/>
      <c r="J222" s="33" t="s">
        <v>14</v>
      </c>
      <c r="K222" s="31"/>
      <c r="L222" s="31"/>
      <c r="M222" s="34" t="s">
        <v>15</v>
      </c>
      <c r="N222" s="32"/>
      <c r="O222" s="30"/>
    </row>
    <row r="223" spans="1:15" x14ac:dyDescent="0.25">
      <c r="A223" s="2" t="s">
        <v>12</v>
      </c>
      <c r="B223" s="76">
        <v>54700</v>
      </c>
      <c r="D223" s="165">
        <v>0</v>
      </c>
      <c r="E223" s="13">
        <v>0</v>
      </c>
      <c r="F223" s="32">
        <v>0</v>
      </c>
      <c r="G223" s="32" t="s">
        <v>61</v>
      </c>
      <c r="H223" s="13"/>
      <c r="I223" s="32"/>
      <c r="J223" s="301">
        <v>0</v>
      </c>
      <c r="K223" s="307">
        <v>0</v>
      </c>
      <c r="L223" s="307">
        <v>0.75</v>
      </c>
      <c r="M223" s="301">
        <v>0</v>
      </c>
      <c r="N223" s="307">
        <v>0</v>
      </c>
      <c r="O223" s="307">
        <v>0.75</v>
      </c>
    </row>
    <row r="224" spans="1:15" x14ac:dyDescent="0.25">
      <c r="A224" s="85" t="s">
        <v>170</v>
      </c>
      <c r="B224" s="132">
        <v>28789.473684210527</v>
      </c>
      <c r="D224" s="165">
        <v>12000</v>
      </c>
      <c r="E224" s="13">
        <v>0</v>
      </c>
      <c r="F224" s="32">
        <v>4.5</v>
      </c>
      <c r="G224" s="32" t="s">
        <v>94</v>
      </c>
      <c r="H224" s="13"/>
      <c r="I224" s="32"/>
      <c r="J224" s="307">
        <v>50000</v>
      </c>
      <c r="K224" s="307">
        <v>37.5</v>
      </c>
      <c r="L224" s="307">
        <v>1</v>
      </c>
      <c r="M224" s="307">
        <v>50000</v>
      </c>
      <c r="N224" s="307">
        <v>37.5</v>
      </c>
      <c r="O224" s="307">
        <v>1</v>
      </c>
    </row>
    <row r="225" spans="1:15" x14ac:dyDescent="0.25">
      <c r="A225" s="1" t="s">
        <v>13</v>
      </c>
      <c r="B225" s="20"/>
      <c r="D225" s="165">
        <v>16000</v>
      </c>
      <c r="E225" s="13">
        <v>180</v>
      </c>
      <c r="F225" s="32">
        <v>5</v>
      </c>
      <c r="G225" s="32" t="s">
        <v>93</v>
      </c>
      <c r="H225" s="154">
        <v>1.9</v>
      </c>
      <c r="I225" s="32"/>
      <c r="J225" s="307">
        <v>100000</v>
      </c>
      <c r="K225" s="307">
        <v>87.5</v>
      </c>
      <c r="L225" s="307">
        <v>1.25</v>
      </c>
      <c r="M225" s="307">
        <v>100000</v>
      </c>
      <c r="N225" s="307">
        <v>87.5</v>
      </c>
      <c r="O225" s="307">
        <v>1.25</v>
      </c>
    </row>
    <row r="226" spans="1:15" x14ac:dyDescent="0.25">
      <c r="A226" s="1" t="s">
        <v>3</v>
      </c>
      <c r="B226" s="20">
        <v>3623.5</v>
      </c>
      <c r="D226" s="165">
        <v>20000</v>
      </c>
      <c r="E226" s="13">
        <v>380</v>
      </c>
      <c r="F226" s="32">
        <v>6.5</v>
      </c>
      <c r="G226" s="32"/>
      <c r="H226" s="13"/>
      <c r="I226" s="32"/>
      <c r="J226" s="307">
        <v>150000</v>
      </c>
      <c r="K226" s="307">
        <v>150</v>
      </c>
      <c r="L226" s="307">
        <v>1</v>
      </c>
      <c r="M226" s="307">
        <v>150000</v>
      </c>
      <c r="N226" s="307">
        <v>150</v>
      </c>
      <c r="O226" s="307">
        <v>1</v>
      </c>
    </row>
    <row r="227" spans="1:15" x14ac:dyDescent="0.25">
      <c r="A227" s="1" t="s">
        <v>17</v>
      </c>
      <c r="B227" s="20">
        <v>2052</v>
      </c>
      <c r="D227" s="165">
        <v>23000</v>
      </c>
      <c r="E227" s="13">
        <v>575</v>
      </c>
      <c r="F227" s="32">
        <v>8</v>
      </c>
      <c r="G227" s="32"/>
      <c r="H227" s="13"/>
      <c r="I227" s="32"/>
      <c r="J227" s="307">
        <v>1000000</v>
      </c>
      <c r="K227" s="307">
        <v>1000</v>
      </c>
      <c r="L227" s="307">
        <v>1.4</v>
      </c>
      <c r="M227" s="307">
        <v>1000000</v>
      </c>
      <c r="N227" s="307">
        <v>1000</v>
      </c>
      <c r="O227" s="307">
        <v>1.4</v>
      </c>
    </row>
    <row r="228" spans="1:15" x14ac:dyDescent="0.25">
      <c r="A228" s="2" t="s">
        <v>9</v>
      </c>
      <c r="B228" s="76">
        <v>0</v>
      </c>
      <c r="D228" s="165">
        <v>25000</v>
      </c>
      <c r="E228" s="13">
        <v>735</v>
      </c>
      <c r="F228" s="32">
        <v>9</v>
      </c>
      <c r="G228" s="32"/>
      <c r="H228" s="13"/>
      <c r="I228" s="32"/>
      <c r="J228" s="307">
        <v>2000000</v>
      </c>
      <c r="K228" s="307">
        <v>2400</v>
      </c>
      <c r="L228" s="307">
        <v>1.5</v>
      </c>
      <c r="M228" s="307">
        <v>2000000</v>
      </c>
      <c r="N228" s="307">
        <v>2400</v>
      </c>
      <c r="O228" s="307">
        <v>1.5</v>
      </c>
    </row>
    <row r="229" spans="1:15" x14ac:dyDescent="0.25">
      <c r="A229" s="1" t="s">
        <v>13</v>
      </c>
      <c r="D229" s="165">
        <v>28000</v>
      </c>
      <c r="E229" s="13">
        <v>1005</v>
      </c>
      <c r="F229" s="32">
        <v>9.5</v>
      </c>
      <c r="G229" s="32"/>
      <c r="H229" s="13"/>
      <c r="I229" s="32"/>
      <c r="J229" s="304">
        <v>3000000</v>
      </c>
      <c r="K229" s="307">
        <v>3900</v>
      </c>
      <c r="L229" s="307">
        <v>1.3</v>
      </c>
      <c r="M229" s="304">
        <v>3000000</v>
      </c>
      <c r="N229" s="307">
        <v>3900</v>
      </c>
      <c r="O229" s="307">
        <v>1.3</v>
      </c>
    </row>
    <row r="230" spans="1:15" x14ac:dyDescent="0.25">
      <c r="A230" s="1" t="s">
        <v>3</v>
      </c>
      <c r="B230" s="20">
        <v>0</v>
      </c>
      <c r="D230" s="165">
        <v>39000</v>
      </c>
      <c r="E230" s="13">
        <v>2050</v>
      </c>
      <c r="F230" s="32">
        <v>10</v>
      </c>
      <c r="G230" s="32"/>
      <c r="H230" s="13"/>
      <c r="I230" s="32"/>
      <c r="J230" s="13"/>
      <c r="K230" s="13"/>
      <c r="L230" s="32"/>
      <c r="M230" s="13"/>
      <c r="N230" s="13"/>
      <c r="O230" s="32"/>
    </row>
    <row r="231" spans="1:15" x14ac:dyDescent="0.25">
      <c r="A231" s="1" t="s">
        <v>17</v>
      </c>
      <c r="B231" s="20">
        <v>0</v>
      </c>
      <c r="D231" s="165">
        <v>54000</v>
      </c>
      <c r="E231" s="13">
        <v>3550</v>
      </c>
      <c r="F231" s="32">
        <v>10.5</v>
      </c>
      <c r="G231" s="32"/>
      <c r="H231" s="13"/>
      <c r="I231" s="32"/>
    </row>
    <row r="232" spans="1:15" x14ac:dyDescent="0.25">
      <c r="A232" s="2"/>
      <c r="B232" s="20"/>
      <c r="D232" s="165">
        <v>98000</v>
      </c>
      <c r="E232" s="13">
        <v>8170</v>
      </c>
      <c r="F232" s="32">
        <v>11.5</v>
      </c>
      <c r="G232" s="32"/>
      <c r="H232" s="13"/>
      <c r="I232" s="32"/>
    </row>
    <row r="233" spans="1:15" x14ac:dyDescent="0.25">
      <c r="A233" s="19" t="s">
        <v>186</v>
      </c>
      <c r="B233" s="20"/>
      <c r="D233" s="165">
        <v>310000</v>
      </c>
      <c r="E233" s="13">
        <v>32550</v>
      </c>
      <c r="F233" s="32">
        <v>10.5</v>
      </c>
      <c r="G233" s="32"/>
      <c r="H233" s="13"/>
      <c r="I233" s="32"/>
    </row>
    <row r="234" spans="1:15" x14ac:dyDescent="0.25">
      <c r="A234" s="2" t="s">
        <v>12</v>
      </c>
      <c r="B234" s="76">
        <v>42200</v>
      </c>
    </row>
    <row r="235" spans="1:15" x14ac:dyDescent="0.25">
      <c r="A235" s="85" t="s">
        <v>170</v>
      </c>
      <c r="B235" s="132">
        <v>22210.526315789473</v>
      </c>
    </row>
    <row r="236" spans="1:15" x14ac:dyDescent="0.25">
      <c r="A236" s="1" t="s">
        <v>13</v>
      </c>
      <c r="B236" s="20"/>
      <c r="D236" s="32"/>
      <c r="F236" s="32"/>
      <c r="G236" s="32"/>
      <c r="H236" s="13"/>
      <c r="I236" s="32"/>
    </row>
    <row r="237" spans="1:15" x14ac:dyDescent="0.25">
      <c r="A237" s="1" t="s">
        <v>3</v>
      </c>
      <c r="B237" s="20">
        <v>2370</v>
      </c>
      <c r="D237" s="32"/>
      <c r="F237" s="32"/>
      <c r="G237" s="32"/>
      <c r="H237" s="13"/>
      <c r="I237" s="32"/>
    </row>
    <row r="238" spans="1:15" x14ac:dyDescent="0.25">
      <c r="A238" s="1" t="s">
        <v>17</v>
      </c>
      <c r="B238" s="20">
        <v>994.99999999999989</v>
      </c>
      <c r="D238" s="32"/>
      <c r="F238" s="32"/>
      <c r="G238" s="32"/>
      <c r="H238" s="13"/>
      <c r="I238" s="32"/>
    </row>
    <row r="239" spans="1:15" x14ac:dyDescent="0.25">
      <c r="A239" s="2" t="s">
        <v>9</v>
      </c>
      <c r="B239" s="76">
        <v>0</v>
      </c>
      <c r="D239"/>
      <c r="E239"/>
      <c r="F239"/>
      <c r="G239" s="32"/>
      <c r="H239" s="13"/>
      <c r="I239" s="32"/>
    </row>
    <row r="240" spans="1:15" x14ac:dyDescent="0.25">
      <c r="A240" s="1" t="s">
        <v>13</v>
      </c>
      <c r="D240" s="3"/>
      <c r="E240"/>
      <c r="F240"/>
      <c r="G240" s="32"/>
      <c r="H240" s="13"/>
      <c r="I240" s="32"/>
    </row>
    <row r="241" spans="1:15" x14ac:dyDescent="0.25">
      <c r="A241" s="1" t="s">
        <v>3</v>
      </c>
      <c r="B241" s="20">
        <v>0</v>
      </c>
      <c r="H241" s="13"/>
      <c r="I241" s="32"/>
    </row>
    <row r="242" spans="1:15" x14ac:dyDescent="0.25">
      <c r="A242" s="1" t="s">
        <v>17</v>
      </c>
      <c r="B242" s="20">
        <v>0</v>
      </c>
      <c r="H242" s="13"/>
    </row>
    <row r="243" spans="1:15" x14ac:dyDescent="0.25">
      <c r="I243" s="15"/>
    </row>
    <row r="244" spans="1:15" x14ac:dyDescent="0.25">
      <c r="D244"/>
      <c r="E244"/>
      <c r="F244"/>
      <c r="G244" s="32"/>
      <c r="H244" s="13"/>
      <c r="I244" s="32"/>
    </row>
    <row r="245" spans="1:15" ht="15.6" x14ac:dyDescent="0.3">
      <c r="A245" s="14" t="s">
        <v>169</v>
      </c>
    </row>
    <row r="246" spans="1:15" x14ac:dyDescent="0.25">
      <c r="A246" s="302" t="s">
        <v>168</v>
      </c>
      <c r="D246" s="3" t="s">
        <v>4</v>
      </c>
      <c r="E246" s="15"/>
      <c r="F246" s="18"/>
      <c r="G246" s="18"/>
      <c r="H246" s="18"/>
      <c r="I246" s="18"/>
      <c r="J246" s="3" t="s">
        <v>8</v>
      </c>
    </row>
    <row r="247" spans="1:15" x14ac:dyDescent="0.25">
      <c r="D247" s="30" t="s">
        <v>10</v>
      </c>
      <c r="E247" s="22"/>
      <c r="F247" s="31" t="s">
        <v>11</v>
      </c>
      <c r="G247" s="30" t="s">
        <v>10</v>
      </c>
      <c r="H247" s="22"/>
      <c r="I247" s="31" t="s">
        <v>11</v>
      </c>
      <c r="J247" s="30" t="s">
        <v>10</v>
      </c>
      <c r="K247" s="22"/>
      <c r="L247" s="31" t="s">
        <v>11</v>
      </c>
      <c r="M247" s="30" t="s">
        <v>10</v>
      </c>
      <c r="N247" s="22"/>
      <c r="O247" s="31" t="s">
        <v>11</v>
      </c>
    </row>
    <row r="248" spans="1:15" x14ac:dyDescent="0.25">
      <c r="A248" s="19" t="s">
        <v>187</v>
      </c>
      <c r="D248" s="33" t="s">
        <v>14</v>
      </c>
      <c r="E248" s="31"/>
      <c r="F248" s="31"/>
      <c r="G248" s="34" t="s">
        <v>15</v>
      </c>
      <c r="H248" s="32"/>
      <c r="I248" s="30"/>
      <c r="J248" s="33" t="s">
        <v>14</v>
      </c>
      <c r="K248" s="31"/>
      <c r="L248" s="31"/>
      <c r="M248" s="34" t="s">
        <v>15</v>
      </c>
      <c r="N248" s="32"/>
      <c r="O248" s="30"/>
    </row>
    <row r="249" spans="1:15" x14ac:dyDescent="0.25">
      <c r="A249" s="2" t="s">
        <v>12</v>
      </c>
      <c r="B249" s="76">
        <v>54700</v>
      </c>
      <c r="D249" s="300">
        <v>0</v>
      </c>
      <c r="E249" s="13">
        <v>0</v>
      </c>
      <c r="F249" s="32">
        <v>0</v>
      </c>
      <c r="G249" s="301">
        <v>0</v>
      </c>
      <c r="H249" s="13">
        <v>0</v>
      </c>
      <c r="I249" s="32">
        <v>0</v>
      </c>
      <c r="J249" s="301">
        <v>0</v>
      </c>
      <c r="K249" s="13">
        <v>0</v>
      </c>
      <c r="L249" s="32">
        <v>0</v>
      </c>
      <c r="M249" s="301">
        <v>0</v>
      </c>
      <c r="N249" s="13">
        <v>0</v>
      </c>
      <c r="O249" s="32">
        <v>0</v>
      </c>
    </row>
    <row r="250" spans="1:15" x14ac:dyDescent="0.25">
      <c r="A250" s="1" t="s">
        <v>13</v>
      </c>
      <c r="B250" s="20"/>
      <c r="D250" s="301">
        <v>6900</v>
      </c>
      <c r="E250" s="13">
        <v>0</v>
      </c>
      <c r="F250" s="32">
        <v>2</v>
      </c>
      <c r="G250" s="301">
        <v>13900</v>
      </c>
      <c r="H250" s="13">
        <v>0</v>
      </c>
      <c r="I250" s="32">
        <v>2</v>
      </c>
      <c r="J250" s="301">
        <v>80000</v>
      </c>
      <c r="K250" s="13">
        <v>0</v>
      </c>
      <c r="L250" s="32">
        <v>0.5</v>
      </c>
      <c r="M250" s="301">
        <v>159000</v>
      </c>
      <c r="N250" s="13">
        <v>0</v>
      </c>
      <c r="O250" s="32">
        <v>0.5</v>
      </c>
    </row>
    <row r="251" spans="1:15" x14ac:dyDescent="0.25">
      <c r="A251" s="1" t="s">
        <v>3</v>
      </c>
      <c r="B251" s="20">
        <v>2370</v>
      </c>
      <c r="D251" s="301">
        <v>11800</v>
      </c>
      <c r="E251" s="13">
        <v>98</v>
      </c>
      <c r="F251" s="32">
        <v>3</v>
      </c>
      <c r="G251" s="301">
        <v>20200</v>
      </c>
      <c r="H251" s="13">
        <v>126</v>
      </c>
      <c r="I251" s="32">
        <v>3</v>
      </c>
      <c r="J251" s="301">
        <v>318000</v>
      </c>
      <c r="K251" s="13">
        <v>119</v>
      </c>
      <c r="L251" s="32">
        <v>1</v>
      </c>
      <c r="M251" s="301">
        <v>398000</v>
      </c>
      <c r="N251" s="13">
        <v>119.5</v>
      </c>
      <c r="O251" s="32">
        <v>1</v>
      </c>
    </row>
    <row r="252" spans="1:15" x14ac:dyDescent="0.25">
      <c r="A252" s="1" t="s">
        <v>17</v>
      </c>
      <c r="B252" s="20">
        <v>1651</v>
      </c>
      <c r="D252" s="301">
        <v>16600</v>
      </c>
      <c r="E252" s="13">
        <v>242</v>
      </c>
      <c r="F252" s="32">
        <v>4</v>
      </c>
      <c r="G252" s="301">
        <v>28200</v>
      </c>
      <c r="H252" s="13">
        <v>366</v>
      </c>
      <c r="I252" s="32">
        <v>4</v>
      </c>
      <c r="J252" s="301">
        <v>717000</v>
      </c>
      <c r="K252" s="13">
        <v>518</v>
      </c>
      <c r="L252" s="32">
        <v>1.5</v>
      </c>
      <c r="M252" s="301">
        <v>795000</v>
      </c>
      <c r="N252" s="13">
        <v>516.5</v>
      </c>
      <c r="O252" s="32">
        <v>1.5</v>
      </c>
    </row>
    <row r="253" spans="1:15" x14ac:dyDescent="0.25">
      <c r="A253" s="2" t="s">
        <v>9</v>
      </c>
      <c r="B253" s="76">
        <v>0</v>
      </c>
      <c r="D253" s="301">
        <v>24500</v>
      </c>
      <c r="E253" s="13">
        <v>558</v>
      </c>
      <c r="F253" s="32">
        <v>5</v>
      </c>
      <c r="G253" s="301">
        <v>37900</v>
      </c>
      <c r="H253" s="13">
        <v>754</v>
      </c>
      <c r="I253" s="32">
        <v>5</v>
      </c>
      <c r="J253" s="301">
        <v>1353000</v>
      </c>
      <c r="K253" s="13">
        <v>1472</v>
      </c>
      <c r="L253" s="32">
        <v>2</v>
      </c>
      <c r="M253" s="301">
        <v>1432000</v>
      </c>
      <c r="N253" s="13">
        <v>1472</v>
      </c>
      <c r="O253" s="32">
        <v>2</v>
      </c>
    </row>
    <row r="254" spans="1:15" x14ac:dyDescent="0.25">
      <c r="A254" s="1" t="s">
        <v>13</v>
      </c>
      <c r="D254" s="301">
        <v>34100</v>
      </c>
      <c r="E254" s="13">
        <v>1038</v>
      </c>
      <c r="F254" s="32">
        <v>6</v>
      </c>
      <c r="G254" s="301">
        <v>49000</v>
      </c>
      <c r="H254" s="13">
        <v>1309</v>
      </c>
      <c r="I254" s="32">
        <v>6</v>
      </c>
      <c r="J254" s="301">
        <v>2309000</v>
      </c>
      <c r="K254" s="13">
        <v>3384</v>
      </c>
      <c r="L254" s="32">
        <v>2.5</v>
      </c>
      <c r="M254" s="301">
        <v>2387000</v>
      </c>
      <c r="N254" s="13">
        <v>3382</v>
      </c>
      <c r="O254" s="32">
        <v>2.5</v>
      </c>
    </row>
    <row r="255" spans="1:15" x14ac:dyDescent="0.25">
      <c r="A255" s="1" t="s">
        <v>3</v>
      </c>
      <c r="B255" s="20">
        <v>0</v>
      </c>
      <c r="D255" s="301">
        <v>45100</v>
      </c>
      <c r="E255" s="13">
        <v>1698</v>
      </c>
      <c r="F255" s="32">
        <v>7</v>
      </c>
      <c r="G255" s="301">
        <v>63300</v>
      </c>
      <c r="H255" s="13">
        <v>2167</v>
      </c>
      <c r="I255" s="32">
        <v>7</v>
      </c>
      <c r="J255" s="307">
        <v>3262000</v>
      </c>
      <c r="K255" s="13">
        <v>5766.5</v>
      </c>
      <c r="L255" s="32">
        <v>3</v>
      </c>
      <c r="M255" s="307">
        <v>3342000</v>
      </c>
      <c r="N255" s="13">
        <v>5769.5</v>
      </c>
      <c r="O255" s="32">
        <v>3</v>
      </c>
    </row>
    <row r="256" spans="1:15" x14ac:dyDescent="0.25">
      <c r="A256" s="1" t="s">
        <v>17</v>
      </c>
      <c r="B256" s="20">
        <v>0</v>
      </c>
      <c r="D256" s="301">
        <v>58000</v>
      </c>
      <c r="E256" s="13">
        <v>2601</v>
      </c>
      <c r="F256" s="32">
        <v>8</v>
      </c>
      <c r="G256" s="301">
        <v>95100</v>
      </c>
      <c r="H256" s="13">
        <v>4393</v>
      </c>
      <c r="I256" s="32">
        <v>8</v>
      </c>
    </row>
    <row r="257" spans="1:9" x14ac:dyDescent="0.25">
      <c r="A257" s="2"/>
      <c r="B257" s="20"/>
      <c r="D257" s="301">
        <v>75400</v>
      </c>
      <c r="E257" s="13">
        <v>3993</v>
      </c>
      <c r="F257" s="32">
        <v>9</v>
      </c>
      <c r="G257" s="301">
        <v>127000</v>
      </c>
      <c r="H257" s="13">
        <v>6945</v>
      </c>
      <c r="I257" s="32">
        <v>9</v>
      </c>
    </row>
    <row r="258" spans="1:9" x14ac:dyDescent="0.25">
      <c r="A258" s="19" t="s">
        <v>186</v>
      </c>
      <c r="B258" s="20"/>
      <c r="D258" s="301">
        <v>109000</v>
      </c>
      <c r="E258" s="13">
        <v>7017</v>
      </c>
      <c r="F258" s="32">
        <v>10</v>
      </c>
      <c r="G258" s="301">
        <v>174900</v>
      </c>
      <c r="H258" s="13">
        <v>11256</v>
      </c>
      <c r="I258" s="32">
        <v>10</v>
      </c>
    </row>
    <row r="259" spans="1:9" x14ac:dyDescent="0.25">
      <c r="A259" s="2" t="s">
        <v>12</v>
      </c>
      <c r="B259" s="76">
        <v>42200</v>
      </c>
      <c r="D259" s="301">
        <v>142200</v>
      </c>
      <c r="E259" s="13">
        <v>10337</v>
      </c>
      <c r="F259" s="32">
        <v>11</v>
      </c>
      <c r="G259" s="301">
        <v>232100</v>
      </c>
      <c r="H259" s="13">
        <v>16976</v>
      </c>
      <c r="I259" s="32">
        <v>11</v>
      </c>
    </row>
    <row r="260" spans="1:9" x14ac:dyDescent="0.25">
      <c r="A260" s="1" t="s">
        <v>13</v>
      </c>
      <c r="B260" s="20"/>
      <c r="D260" s="301">
        <v>194900</v>
      </c>
      <c r="E260" s="13">
        <v>16134</v>
      </c>
      <c r="F260" s="32">
        <v>12</v>
      </c>
      <c r="G260" s="301">
        <v>294200</v>
      </c>
      <c r="H260" s="13">
        <v>23807</v>
      </c>
      <c r="I260" s="32">
        <v>12</v>
      </c>
    </row>
    <row r="261" spans="1:9" x14ac:dyDescent="0.25">
      <c r="A261" s="1" t="s">
        <v>3</v>
      </c>
      <c r="B261" s="20">
        <v>1524</v>
      </c>
      <c r="D261" s="301">
        <v>263300</v>
      </c>
      <c r="E261" s="13">
        <v>24342</v>
      </c>
      <c r="F261" s="32">
        <v>13</v>
      </c>
      <c r="G261" s="301">
        <v>365800</v>
      </c>
      <c r="H261" s="13">
        <v>32399</v>
      </c>
      <c r="I261" s="32">
        <v>13</v>
      </c>
    </row>
    <row r="262" spans="1:9" x14ac:dyDescent="0.25">
      <c r="A262" s="1" t="s">
        <v>17</v>
      </c>
      <c r="B262" s="20">
        <v>969</v>
      </c>
      <c r="D262" s="32"/>
      <c r="F262" s="32"/>
      <c r="G262" s="32"/>
      <c r="H262" s="13"/>
      <c r="I262" s="32"/>
    </row>
    <row r="263" spans="1:9" x14ac:dyDescent="0.25">
      <c r="A263" s="2" t="s">
        <v>9</v>
      </c>
      <c r="B263" s="76">
        <v>0</v>
      </c>
      <c r="D263"/>
      <c r="E263"/>
      <c r="F263"/>
      <c r="G263" s="32"/>
      <c r="H263" s="13"/>
      <c r="I263" s="32"/>
    </row>
    <row r="264" spans="1:9" x14ac:dyDescent="0.25">
      <c r="A264" s="1" t="s">
        <v>13</v>
      </c>
      <c r="D264" s="3"/>
      <c r="E264"/>
      <c r="F264"/>
      <c r="G264" s="32"/>
      <c r="H264" s="13"/>
      <c r="I264" s="32"/>
    </row>
    <row r="265" spans="1:9" x14ac:dyDescent="0.25">
      <c r="A265" s="1" t="s">
        <v>3</v>
      </c>
      <c r="B265" s="20">
        <v>0</v>
      </c>
      <c r="H265" s="13"/>
      <c r="I265" s="32"/>
    </row>
    <row r="266" spans="1:9" x14ac:dyDescent="0.25">
      <c r="A266" s="1" t="s">
        <v>17</v>
      </c>
      <c r="B266" s="20">
        <v>0</v>
      </c>
      <c r="H266" s="13"/>
    </row>
    <row r="267" spans="1:9" x14ac:dyDescent="0.25">
      <c r="F267" s="22"/>
      <c r="H267" s="13"/>
    </row>
    <row r="268" spans="1:9" x14ac:dyDescent="0.25">
      <c r="H268" s="13"/>
      <c r="I268" s="22"/>
    </row>
    <row r="269" spans="1:9" x14ac:dyDescent="0.25">
      <c r="H269" s="13"/>
      <c r="I269" s="15"/>
    </row>
    <row r="270" spans="1:9" x14ac:dyDescent="0.25">
      <c r="A270" s="2"/>
      <c r="B270" s="2"/>
      <c r="H270" s="13"/>
      <c r="I270" s="15"/>
    </row>
    <row r="271" spans="1:9" x14ac:dyDescent="0.25">
      <c r="A271" s="1"/>
      <c r="B271" s="20"/>
      <c r="H271" s="13"/>
      <c r="I271" s="15"/>
    </row>
    <row r="272" spans="1:9" x14ac:dyDescent="0.25">
      <c r="A272" s="1"/>
      <c r="B272" s="20"/>
      <c r="H272" s="15"/>
      <c r="I272" s="15"/>
    </row>
    <row r="273" spans="4:9" x14ac:dyDescent="0.25">
      <c r="I273" s="15"/>
    </row>
    <row r="274" spans="4:9" x14ac:dyDescent="0.25">
      <c r="D274"/>
      <c r="E274"/>
      <c r="F274"/>
      <c r="G274" s="32"/>
      <c r="H274" s="13"/>
      <c r="I274" s="32"/>
    </row>
  </sheetData>
  <phoneticPr fontId="0" type="noConversion"/>
  <hyperlinks>
    <hyperlink ref="G1" r:id="rId1" display="© www.berechnungsblaetter.ch 01.01" xr:uid="{00000000-0004-0000-0700-000000000000}"/>
  </hyperlinks>
  <pageMargins left="0.78740157499999996" right="0.78740157499999996" top="0.82" bottom="0.984251969" header="0.4921259845" footer="0.4921259845"/>
  <pageSetup paperSize="9" scale="55" fitToHeight="4" orientation="landscape" blackAndWhite="1" horizontalDpi="300" verticalDpi="300" r:id="rId2"/>
  <headerFooter alignWithMargins="0">
    <oddFooter>&amp;C&amp;D</oddFooter>
  </headerFooter>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3.2"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56</vt:i4>
      </vt:variant>
    </vt:vector>
  </HeadingPairs>
  <TitlesOfParts>
    <vt:vector size="64" baseType="lpstr">
      <vt:lpstr>Hauptblatt</vt:lpstr>
      <vt:lpstr>Résumé</vt:lpstr>
      <vt:lpstr>Hilfsblatt</vt:lpstr>
      <vt:lpstr>Steuerangaben</vt:lpstr>
      <vt:lpstr>Vorsorge</vt:lpstr>
      <vt:lpstr>Steuerberechnung</vt:lpstr>
      <vt:lpstr>Grundlagen</vt:lpstr>
      <vt:lpstr>Tarife</vt:lpstr>
      <vt:lpstr>Beginn</vt:lpstr>
      <vt:lpstr>Grundlagen!Drucktitel</vt:lpstr>
      <vt:lpstr>Tarife!Drucktitel</vt:lpstr>
      <vt:lpstr>E_AG_All</vt:lpstr>
      <vt:lpstr>E_AG_Verh</vt:lpstr>
      <vt:lpstr>E_BE_All</vt:lpstr>
      <vt:lpstr>E_BE_Verh</vt:lpstr>
      <vt:lpstr>E_BL_All</vt:lpstr>
      <vt:lpstr>E_BL_Verh</vt:lpstr>
      <vt:lpstr>E_BS_All</vt:lpstr>
      <vt:lpstr>E_BS_Verh</vt:lpstr>
      <vt:lpstr>E_Bund_All</vt:lpstr>
      <vt:lpstr>E_Bund_Verh</vt:lpstr>
      <vt:lpstr>E_FR_2005</vt:lpstr>
      <vt:lpstr>E_LU_All</vt:lpstr>
      <vt:lpstr>E_LU_Verh</vt:lpstr>
      <vt:lpstr>E_SG_All</vt:lpstr>
      <vt:lpstr>E_SG_Verh</vt:lpstr>
      <vt:lpstr>E_SO_All</vt:lpstr>
      <vt:lpstr>E_SO_Verh</vt:lpstr>
      <vt:lpstr>E_ZH_All</vt:lpstr>
      <vt:lpstr>E_ZH_Verh</vt:lpstr>
      <vt:lpstr>Vorsorge!Jahrgang_EF</vt:lpstr>
      <vt:lpstr>Laufende_Steuern</vt:lpstr>
      <vt:lpstr>Namen_Ehegatten</vt:lpstr>
      <vt:lpstr>Resultat</vt:lpstr>
      <vt:lpstr>SteuernEF1</vt:lpstr>
      <vt:lpstr>SteuernEF2</vt:lpstr>
      <vt:lpstr>SteuernEM1</vt:lpstr>
      <vt:lpstr>SteuernEM2</vt:lpstr>
      <vt:lpstr>Résumé!SteuernHb1</vt:lpstr>
      <vt:lpstr>SteuernHb1</vt:lpstr>
      <vt:lpstr>Résumé!SteuernVp1</vt:lpstr>
      <vt:lpstr>SteuernVp1</vt:lpstr>
      <vt:lpstr>V_AG_All</vt:lpstr>
      <vt:lpstr>V_AG_Verh</vt:lpstr>
      <vt:lpstr>V_BE_All</vt:lpstr>
      <vt:lpstr>V_BE_Verh</vt:lpstr>
      <vt:lpstr>Tarife!V_BL</vt:lpstr>
      <vt:lpstr>V_BL</vt:lpstr>
      <vt:lpstr>V_BS_All</vt:lpstr>
      <vt:lpstr>V_BS_Verh</vt:lpstr>
      <vt:lpstr>V_FR</vt:lpstr>
      <vt:lpstr>V_FR_All</vt:lpstr>
      <vt:lpstr>V_FR_Verh</vt:lpstr>
      <vt:lpstr>V_LU</vt:lpstr>
      <vt:lpstr>V_SG_All</vt:lpstr>
      <vt:lpstr>V_SG_All_02</vt:lpstr>
      <vt:lpstr>V_SG_Verh</vt:lpstr>
      <vt:lpstr>V_SG_Verh_02</vt:lpstr>
      <vt:lpstr>V_SO_All</vt:lpstr>
      <vt:lpstr>V_SO_Verh</vt:lpstr>
      <vt:lpstr>V_ZH_All</vt:lpstr>
      <vt:lpstr>V_ZH_Verh</vt:lpstr>
      <vt:lpstr>Vorsorge!Vorsorgeluecke_Monat</vt:lpstr>
      <vt:lpstr>Hilfsblatt!Vorsorgeunterhalt</vt:lpstr>
    </vt:vector>
  </TitlesOfParts>
  <Company>berechnungsblaetter.ch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Unterhalts- und Steuerberechnung Lebenskosten 10.25</dc:title>
  <dc:subject>BE ZH LU FR SO BS BL AG SG (d/f)</dc:subject>
  <dc:creator>Daniel Bähler</dc:creator>
  <cp:lastModifiedBy>Daniel Bähler</cp:lastModifiedBy>
  <cp:lastPrinted>2025-07-07T14:13:56Z</cp:lastPrinted>
  <dcterms:created xsi:type="dcterms:W3CDTF">1998-09-02T14:38:33Z</dcterms:created>
  <dcterms:modified xsi:type="dcterms:W3CDTF">2025-09-26T14:14:27Z</dcterms:modified>
</cp:coreProperties>
</file>